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filterPrivacy="1" defaultThemeVersion="166925"/>
  <xr:revisionPtr revIDLastSave="0" documentId="13_ncr:1_{54F6C332-E678-402F-A86F-01B8211244A4}" xr6:coauthVersionLast="45" xr6:coauthVersionMax="45" xr10:uidLastSave="{00000000-0000-0000-0000-000000000000}"/>
  <bookViews>
    <workbookView xWindow="-98" yWindow="-98" windowWidth="19396" windowHeight="10395" xr2:uid="{6AE8D6DA-9A7E-4F98-B35B-F980CC68E945}"/>
  </bookViews>
  <sheets>
    <sheet name="Financials" sheetId="3" r:id="rId1"/>
    <sheet name="Empty" sheetId="2" r:id="rId2"/>
    <sheet name="Completed" sheetId="1" r:id="rId3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2" i="1" l="1"/>
  <c r="G193" i="1"/>
  <c r="G185" i="1" l="1"/>
  <c r="G176" i="1"/>
  <c r="G35" i="3" l="1"/>
  <c r="G38" i="3" s="1"/>
  <c r="G40" i="3" s="1"/>
  <c r="G42" i="3" s="1"/>
  <c r="G44" i="3" s="1"/>
  <c r="G22" i="3"/>
  <c r="G25" i="3" s="1"/>
  <c r="G29" i="3" s="1"/>
  <c r="G12" i="3"/>
  <c r="G17" i="3" s="1"/>
  <c r="B285" i="2"/>
  <c r="B286" i="2" s="1"/>
  <c r="B287" i="2" s="1"/>
  <c r="B284" i="2"/>
  <c r="H282" i="2"/>
  <c r="I282" i="2" s="1"/>
  <c r="J282" i="2" s="1"/>
  <c r="K282" i="2" s="1"/>
  <c r="G282" i="2"/>
  <c r="G281" i="2"/>
  <c r="H281" i="2" s="1"/>
  <c r="I281" i="2" s="1"/>
  <c r="J281" i="2" s="1"/>
  <c r="K281" i="2" s="1"/>
  <c r="H269" i="2"/>
  <c r="I269" i="2" s="1"/>
  <c r="J269" i="2" s="1"/>
  <c r="K269" i="2" s="1"/>
  <c r="G269" i="2"/>
  <c r="H213" i="2"/>
  <c r="I213" i="2" s="1"/>
  <c r="J213" i="2" s="1"/>
  <c r="K213" i="2" s="1"/>
  <c r="H156" i="2"/>
  <c r="J154" i="2"/>
  <c r="K154" i="2" s="1"/>
  <c r="I154" i="2"/>
  <c r="H154" i="2"/>
  <c r="H123" i="2"/>
  <c r="I123" i="2" s="1"/>
  <c r="J123" i="2" s="1"/>
  <c r="K123" i="2" s="1"/>
  <c r="H93" i="2"/>
  <c r="I93" i="2" s="1"/>
  <c r="J93" i="2" s="1"/>
  <c r="K93" i="2" s="1"/>
  <c r="G93" i="2"/>
  <c r="I156" i="2" l="1"/>
  <c r="F297" i="1"/>
  <c r="E297" i="1" s="1"/>
  <c r="D297" i="1" s="1"/>
  <c r="H297" i="1"/>
  <c r="I297" i="1" s="1"/>
  <c r="J297" i="1" s="1"/>
  <c r="C300" i="1"/>
  <c r="C299" i="1" s="1"/>
  <c r="C298" i="1" s="1"/>
  <c r="C302" i="1"/>
  <c r="C303" i="1" s="1"/>
  <c r="C304" i="1" s="1"/>
  <c r="H309" i="1"/>
  <c r="G165" i="1"/>
  <c r="J156" i="2" l="1"/>
  <c r="C314" i="1"/>
  <c r="C315" i="1" s="1"/>
  <c r="C316" i="1" s="1"/>
  <c r="C312" i="1"/>
  <c r="C311" i="1" s="1"/>
  <c r="C310" i="1" s="1"/>
  <c r="I309" i="1"/>
  <c r="J309" i="1" s="1"/>
  <c r="F309" i="1"/>
  <c r="E309" i="1" s="1"/>
  <c r="D309" i="1" s="1"/>
  <c r="K156" i="2" l="1"/>
  <c r="E50" i="1"/>
  <c r="H119" i="1" l="1"/>
  <c r="I119" i="1" s="1"/>
  <c r="J119" i="1" s="1"/>
  <c r="K119" i="1" s="1"/>
  <c r="F115" i="1" l="1"/>
  <c r="G115" i="1" s="1"/>
  <c r="H115" i="1" s="1"/>
  <c r="I115" i="1" s="1"/>
  <c r="J115" i="1" s="1"/>
  <c r="K115" i="1" s="1"/>
  <c r="F116" i="1"/>
  <c r="H104" i="1"/>
  <c r="G104" i="1"/>
  <c r="G278" i="1" l="1"/>
  <c r="G285" i="1" l="1"/>
  <c r="G284" i="1"/>
  <c r="G287" i="1"/>
  <c r="G286" i="1"/>
  <c r="I104" i="1"/>
  <c r="I278" i="1" s="1"/>
  <c r="H278" i="1"/>
  <c r="I287" i="1" l="1"/>
  <c r="I286" i="1"/>
  <c r="H285" i="1"/>
  <c r="H287" i="1"/>
  <c r="H286" i="1"/>
  <c r="J104" i="1"/>
  <c r="J278" i="1" s="1"/>
  <c r="J287" i="1" s="1"/>
  <c r="K104" i="1"/>
  <c r="K278" i="1" s="1"/>
  <c r="H113" i="1"/>
  <c r="I113" i="1" s="1"/>
  <c r="J113" i="1" s="1"/>
  <c r="K113" i="1" s="1"/>
  <c r="H197" i="1" l="1"/>
  <c r="I197" i="1" s="1"/>
  <c r="J197" i="1" s="1"/>
  <c r="K197" i="1" s="1"/>
  <c r="H198" i="1"/>
  <c r="I198" i="1" s="1"/>
  <c r="J198" i="1" s="1"/>
  <c r="K198" i="1" s="1"/>
  <c r="K276" i="1"/>
  <c r="J276" i="1"/>
  <c r="I276" i="1"/>
  <c r="H276" i="1"/>
  <c r="G276" i="1"/>
  <c r="K188" i="1" l="1"/>
  <c r="J188" i="1"/>
  <c r="I188" i="1"/>
  <c r="H188" i="1"/>
  <c r="G188" i="1"/>
  <c r="F118" i="1" l="1"/>
  <c r="E22" i="1"/>
  <c r="G118" i="1" l="1"/>
  <c r="H118" i="1" s="1"/>
  <c r="I118" i="1" s="1"/>
  <c r="J118" i="1" s="1"/>
  <c r="K118" i="1" s="1"/>
  <c r="G116" i="1"/>
  <c r="H116" i="1" s="1"/>
  <c r="I116" i="1" s="1"/>
  <c r="J116" i="1" s="1"/>
  <c r="K116" i="1" s="1"/>
  <c r="K74" i="1" l="1"/>
  <c r="H75" i="1"/>
  <c r="F229" i="1" l="1"/>
  <c r="F256" i="1" s="1"/>
  <c r="G256" i="1" s="1"/>
  <c r="H256" i="1" s="1"/>
  <c r="B284" i="1"/>
  <c r="B285" i="1" s="1"/>
  <c r="B286" i="1" s="1"/>
  <c r="B287" i="1" s="1"/>
  <c r="G282" i="1"/>
  <c r="H282" i="1" s="1"/>
  <c r="I282" i="1" s="1"/>
  <c r="J282" i="1" s="1"/>
  <c r="K282" i="1" s="1"/>
  <c r="G281" i="1"/>
  <c r="H281" i="1" s="1"/>
  <c r="I281" i="1" s="1"/>
  <c r="J281" i="1" s="1"/>
  <c r="K281" i="1" s="1"/>
  <c r="H272" i="1"/>
  <c r="I272" i="1" s="1"/>
  <c r="J272" i="1" s="1"/>
  <c r="G269" i="1"/>
  <c r="H269" i="1" s="1"/>
  <c r="I269" i="1" s="1"/>
  <c r="J269" i="1" s="1"/>
  <c r="K269" i="1" s="1"/>
  <c r="G180" i="1"/>
  <c r="H171" i="1"/>
  <c r="G168" i="1"/>
  <c r="H156" i="1"/>
  <c r="I156" i="1" s="1"/>
  <c r="H154" i="1"/>
  <c r="I154" i="1" s="1"/>
  <c r="J154" i="1" s="1"/>
  <c r="K154" i="1" s="1"/>
  <c r="H150" i="1"/>
  <c r="I150" i="1" s="1"/>
  <c r="G145" i="1"/>
  <c r="H123" i="1"/>
  <c r="I123" i="1" s="1"/>
  <c r="J123" i="1" s="1"/>
  <c r="K123" i="1" s="1"/>
  <c r="H213" i="1"/>
  <c r="I213" i="1" s="1"/>
  <c r="J213" i="1" s="1"/>
  <c r="K213" i="1" s="1"/>
  <c r="G93" i="1"/>
  <c r="H93" i="1" s="1"/>
  <c r="I93" i="1" s="1"/>
  <c r="J93" i="1" s="1"/>
  <c r="K93" i="1" s="1"/>
  <c r="I77" i="1"/>
  <c r="K77" i="1" s="1"/>
  <c r="H83" i="1"/>
  <c r="H87" i="1" s="1"/>
  <c r="K73" i="1"/>
  <c r="F228" i="1" s="1"/>
  <c r="K72" i="1"/>
  <c r="K71" i="1"/>
  <c r="J67" i="1"/>
  <c r="H64" i="1"/>
  <c r="H69" i="1" s="1"/>
  <c r="K63" i="1"/>
  <c r="F218" i="1" s="1"/>
  <c r="K62" i="1"/>
  <c r="F217" i="1" s="1"/>
  <c r="K61" i="1"/>
  <c r="F216" i="1" s="1"/>
  <c r="J60" i="1"/>
  <c r="E47" i="1"/>
  <c r="E46" i="1"/>
  <c r="E44" i="1"/>
  <c r="E43" i="1"/>
  <c r="K30" i="1"/>
  <c r="I85" i="1" s="1"/>
  <c r="K29" i="1"/>
  <c r="I60" i="1" s="1"/>
  <c r="G163" i="1" l="1"/>
  <c r="H163" i="1" s="1"/>
  <c r="I163" i="1" s="1"/>
  <c r="J163" i="1" s="1"/>
  <c r="K163" i="1" s="1"/>
  <c r="I256" i="1"/>
  <c r="F252" i="1"/>
  <c r="G252" i="1" s="1"/>
  <c r="H252" i="1" s="1"/>
  <c r="F246" i="1"/>
  <c r="F227" i="1"/>
  <c r="K75" i="1"/>
  <c r="K60" i="1"/>
  <c r="F215" i="1" s="1"/>
  <c r="H89" i="1"/>
  <c r="F226" i="1"/>
  <c r="I180" i="1"/>
  <c r="I168" i="1"/>
  <c r="J156" i="1"/>
  <c r="H180" i="1"/>
  <c r="I171" i="1"/>
  <c r="H168" i="1"/>
  <c r="J150" i="1"/>
  <c r="J256" i="1" l="1"/>
  <c r="I252" i="1"/>
  <c r="F230" i="1"/>
  <c r="F247" i="1"/>
  <c r="F248" i="1" s="1"/>
  <c r="F254" i="1"/>
  <c r="G254" i="1" s="1"/>
  <c r="H254" i="1" s="1"/>
  <c r="F97" i="1"/>
  <c r="F253" i="1"/>
  <c r="G253" i="1" s="1"/>
  <c r="F255" i="1"/>
  <c r="G255" i="1" s="1"/>
  <c r="F251" i="1"/>
  <c r="G251" i="1" s="1"/>
  <c r="K64" i="1"/>
  <c r="F219" i="1"/>
  <c r="J171" i="1"/>
  <c r="J180" i="1"/>
  <c r="J168" i="1"/>
  <c r="K156" i="1"/>
  <c r="K150" i="1"/>
  <c r="J252" i="1" l="1"/>
  <c r="I254" i="1"/>
  <c r="K256" i="1"/>
  <c r="H255" i="1"/>
  <c r="F114" i="1"/>
  <c r="H251" i="1"/>
  <c r="H253" i="1"/>
  <c r="F100" i="1"/>
  <c r="K171" i="1"/>
  <c r="K180" i="1"/>
  <c r="K168" i="1"/>
  <c r="F105" i="1" l="1"/>
  <c r="F108" i="1" s="1"/>
  <c r="F117" i="1"/>
  <c r="G114" i="1"/>
  <c r="H114" i="1" s="1"/>
  <c r="I114" i="1" s="1"/>
  <c r="J114" i="1" s="1"/>
  <c r="K114" i="1" s="1"/>
  <c r="E8" i="1"/>
  <c r="E10" i="1" s="1"/>
  <c r="J254" i="1"/>
  <c r="K252" i="1"/>
  <c r="I255" i="1"/>
  <c r="I251" i="1"/>
  <c r="I253" i="1"/>
  <c r="F110" i="1" l="1"/>
  <c r="K254" i="1"/>
  <c r="J255" i="1"/>
  <c r="K28" i="1"/>
  <c r="E42" i="1" s="1"/>
  <c r="E45" i="1" s="1"/>
  <c r="E48" i="1" s="1"/>
  <c r="E49" i="1" s="1"/>
  <c r="K45" i="1" s="1"/>
  <c r="K46" i="1" s="1"/>
  <c r="F19" i="1"/>
  <c r="K19" i="1" s="1"/>
  <c r="F20" i="1"/>
  <c r="F18" i="1"/>
  <c r="K18" i="1" s="1"/>
  <c r="F21" i="1"/>
  <c r="J251" i="1"/>
  <c r="J253" i="1"/>
  <c r="F22" i="1" l="1"/>
  <c r="K21" i="1"/>
  <c r="F31" i="1"/>
  <c r="F28" i="1"/>
  <c r="G159" i="1" s="1"/>
  <c r="K20" i="1"/>
  <c r="F30" i="1"/>
  <c r="G184" i="1" s="1"/>
  <c r="F29" i="1"/>
  <c r="K255" i="1"/>
  <c r="K251" i="1"/>
  <c r="K253" i="1"/>
  <c r="K51" i="1" l="1"/>
  <c r="K52" i="1"/>
  <c r="K53" i="1" s="1"/>
  <c r="K44" i="1"/>
  <c r="K22" i="1"/>
  <c r="J79" i="1"/>
  <c r="K79" i="1" s="1"/>
  <c r="F233" i="1" s="1"/>
  <c r="F32" i="1"/>
  <c r="I66" i="1"/>
  <c r="K66" i="1" s="1"/>
  <c r="I68" i="1"/>
  <c r="K68" i="1" s="1"/>
  <c r="F223" i="1" s="1"/>
  <c r="J80" i="1"/>
  <c r="K80" i="1" s="1"/>
  <c r="F234" i="1" s="1"/>
  <c r="G192" i="1"/>
  <c r="G201" i="1" s="1"/>
  <c r="G175" i="1"/>
  <c r="G138" i="1" s="1"/>
  <c r="J78" i="1"/>
  <c r="K78" i="1" s="1"/>
  <c r="G131" i="1" l="1"/>
  <c r="H131" i="1"/>
  <c r="K131" i="1"/>
  <c r="I131" i="1"/>
  <c r="J131" i="1"/>
  <c r="E51" i="1"/>
  <c r="J82" i="1" s="1"/>
  <c r="J103" i="1"/>
  <c r="J130" i="1" s="1"/>
  <c r="H103" i="1"/>
  <c r="H130" i="1" s="1"/>
  <c r="I103" i="1"/>
  <c r="I130" i="1" s="1"/>
  <c r="K103" i="1"/>
  <c r="K130" i="1" s="1"/>
  <c r="G103" i="1"/>
  <c r="G130" i="1" s="1"/>
  <c r="G102" i="1"/>
  <c r="J102" i="1"/>
  <c r="H102" i="1"/>
  <c r="I102" i="1"/>
  <c r="K102" i="1"/>
  <c r="G128" i="1"/>
  <c r="G107" i="1"/>
  <c r="G127" i="1" s="1"/>
  <c r="K107" i="1"/>
  <c r="K127" i="1" s="1"/>
  <c r="J107" i="1"/>
  <c r="J127" i="1" s="1"/>
  <c r="I107" i="1"/>
  <c r="I127" i="1" s="1"/>
  <c r="K31" i="1"/>
  <c r="K32" i="1" s="1"/>
  <c r="F35" i="1" s="1"/>
  <c r="H107" i="1"/>
  <c r="H127" i="1" s="1"/>
  <c r="I81" i="1"/>
  <c r="K81" i="1" s="1"/>
  <c r="F235" i="1" s="1"/>
  <c r="F232" i="1"/>
  <c r="F221" i="1"/>
  <c r="G186" i="1"/>
  <c r="G233" i="1" l="1"/>
  <c r="G261" i="1" s="1"/>
  <c r="G189" i="1"/>
  <c r="G207" i="1" s="1"/>
  <c r="G129" i="1"/>
  <c r="G223" i="1" s="1"/>
  <c r="K129" i="1"/>
  <c r="H129" i="1"/>
  <c r="I129" i="1"/>
  <c r="J129" i="1"/>
  <c r="G235" i="1"/>
  <c r="H235" i="1" s="1"/>
  <c r="I235" i="1" s="1"/>
  <c r="J235" i="1" s="1"/>
  <c r="K235" i="1" s="1"/>
  <c r="H184" i="1"/>
  <c r="H185" i="1" s="1"/>
  <c r="F33" i="1"/>
  <c r="F34" i="1" s="1"/>
  <c r="F37" i="1"/>
  <c r="K37" i="1" s="1"/>
  <c r="K82" i="1"/>
  <c r="F236" i="1" s="1"/>
  <c r="G236" i="1" s="1"/>
  <c r="H236" i="1" s="1"/>
  <c r="I236" i="1" s="1"/>
  <c r="J236" i="1" s="1"/>
  <c r="K236" i="1" s="1"/>
  <c r="E52" i="1"/>
  <c r="I67" i="1" s="1"/>
  <c r="K67" i="1" s="1"/>
  <c r="H186" i="1" l="1"/>
  <c r="H233" i="1" s="1"/>
  <c r="H261" i="1" s="1"/>
  <c r="H189" i="1"/>
  <c r="H207" i="1" s="1"/>
  <c r="H223" i="1"/>
  <c r="I223" i="1" s="1"/>
  <c r="J223" i="1" s="1"/>
  <c r="K223" i="1" s="1"/>
  <c r="F237" i="1"/>
  <c r="I184" i="1"/>
  <c r="I185" i="1" s="1"/>
  <c r="K83" i="1"/>
  <c r="F222" i="1"/>
  <c r="K69" i="1"/>
  <c r="I186" i="1" l="1"/>
  <c r="I233" i="1" s="1"/>
  <c r="I261" i="1" s="1"/>
  <c r="I189" i="1"/>
  <c r="I207" i="1" s="1"/>
  <c r="F224" i="1"/>
  <c r="G222" i="1"/>
  <c r="H222" i="1" s="1"/>
  <c r="I222" i="1" s="1"/>
  <c r="J222" i="1" s="1"/>
  <c r="K222" i="1" s="1"/>
  <c r="J184" i="1"/>
  <c r="J185" i="1" s="1"/>
  <c r="F284" i="1"/>
  <c r="F283" i="1"/>
  <c r="F287" i="1"/>
  <c r="F286" i="1"/>
  <c r="F285" i="1"/>
  <c r="J85" i="1"/>
  <c r="K85" i="1" s="1"/>
  <c r="J186" i="1" l="1"/>
  <c r="J233" i="1" s="1"/>
  <c r="J261" i="1" s="1"/>
  <c r="J189" i="1"/>
  <c r="J207" i="1" s="1"/>
  <c r="K184" i="1"/>
  <c r="K185" i="1" s="1"/>
  <c r="F239" i="1"/>
  <c r="F241" i="1" s="1"/>
  <c r="F243" i="1" s="1"/>
  <c r="K87" i="1"/>
  <c r="K89" i="1" s="1"/>
  <c r="K186" i="1" l="1"/>
  <c r="K233" i="1" s="1"/>
  <c r="K261" i="1" s="1"/>
  <c r="K189" i="1"/>
  <c r="K207" i="1" s="1"/>
  <c r="G95" i="1" l="1"/>
  <c r="G135" i="1" l="1"/>
  <c r="G229" i="1"/>
  <c r="G216" i="1"/>
  <c r="G228" i="1"/>
  <c r="G101" i="1"/>
  <c r="G126" i="1" s="1"/>
  <c r="H95" i="1"/>
  <c r="G218" i="1"/>
  <c r="G99" i="1"/>
  <c r="G98" i="1"/>
  <c r="G97" i="1"/>
  <c r="G221" i="1" l="1"/>
  <c r="H229" i="1"/>
  <c r="H218" i="1"/>
  <c r="H228" i="1"/>
  <c r="H216" i="1"/>
  <c r="G136" i="1"/>
  <c r="I95" i="1"/>
  <c r="H97" i="1"/>
  <c r="H99" i="1"/>
  <c r="H135" i="1"/>
  <c r="H98" i="1"/>
  <c r="H101" i="1"/>
  <c r="G100" i="1"/>
  <c r="G105" i="1" s="1"/>
  <c r="G96" i="1"/>
  <c r="G117" i="1" l="1"/>
  <c r="I229" i="1"/>
  <c r="I216" i="1"/>
  <c r="I218" i="1"/>
  <c r="I228" i="1"/>
  <c r="H136" i="1"/>
  <c r="H126" i="1"/>
  <c r="H221" i="1" s="1"/>
  <c r="G227" i="1"/>
  <c r="G217" i="1"/>
  <c r="H96" i="1"/>
  <c r="H100" i="1"/>
  <c r="H105" i="1" s="1"/>
  <c r="J95" i="1"/>
  <c r="I101" i="1"/>
  <c r="I97" i="1"/>
  <c r="I135" i="1"/>
  <c r="I136" i="1" s="1"/>
  <c r="I98" i="1"/>
  <c r="I99" i="1"/>
  <c r="G271" i="1"/>
  <c r="G273" i="1" s="1"/>
  <c r="J229" i="1" l="1"/>
  <c r="J216" i="1"/>
  <c r="J218" i="1"/>
  <c r="J228" i="1"/>
  <c r="H217" i="1"/>
  <c r="H227" i="1"/>
  <c r="I126" i="1"/>
  <c r="I221" i="1" s="1"/>
  <c r="G247" i="1"/>
  <c r="I96" i="1"/>
  <c r="I100" i="1"/>
  <c r="I105" i="1" s="1"/>
  <c r="K95" i="1"/>
  <c r="J101" i="1"/>
  <c r="J97" i="1"/>
  <c r="J135" i="1"/>
  <c r="J136" i="1" s="1"/>
  <c r="J99" i="1"/>
  <c r="J98" i="1"/>
  <c r="H117" i="1"/>
  <c r="H271" i="1"/>
  <c r="H273" i="1" s="1"/>
  <c r="K229" i="1" l="1"/>
  <c r="K218" i="1"/>
  <c r="K228" i="1"/>
  <c r="K216" i="1"/>
  <c r="I217" i="1"/>
  <c r="I227" i="1"/>
  <c r="J126" i="1"/>
  <c r="J221" i="1" s="1"/>
  <c r="H247" i="1"/>
  <c r="J100" i="1"/>
  <c r="J105" i="1" s="1"/>
  <c r="J96" i="1"/>
  <c r="K97" i="1"/>
  <c r="K135" i="1"/>
  <c r="K136" i="1" s="1"/>
  <c r="K101" i="1"/>
  <c r="K98" i="1"/>
  <c r="K99" i="1"/>
  <c r="I117" i="1"/>
  <c r="I271" i="1"/>
  <c r="I273" i="1" s="1"/>
  <c r="J217" i="1" l="1"/>
  <c r="J227" i="1"/>
  <c r="K126" i="1"/>
  <c r="K221" i="1" s="1"/>
  <c r="I247" i="1"/>
  <c r="K96" i="1"/>
  <c r="K100" i="1"/>
  <c r="K105" i="1" s="1"/>
  <c r="J117" i="1"/>
  <c r="J271" i="1"/>
  <c r="J273" i="1" s="1"/>
  <c r="K217" i="1" l="1"/>
  <c r="K246" i="1" s="1"/>
  <c r="K227" i="1"/>
  <c r="J247" i="1"/>
  <c r="K117" i="1"/>
  <c r="K271" i="1"/>
  <c r="K273" i="1" s="1"/>
  <c r="G246" i="1"/>
  <c r="G248" i="1" s="1"/>
  <c r="I246" i="1"/>
  <c r="I248" i="1" s="1"/>
  <c r="J246" i="1"/>
  <c r="G132" i="1" l="1"/>
  <c r="K247" i="1"/>
  <c r="K248" i="1" s="1"/>
  <c r="J248" i="1"/>
  <c r="H246" i="1"/>
  <c r="H248" i="1" s="1"/>
  <c r="I132" i="1" l="1"/>
  <c r="K132" i="1"/>
  <c r="J132" i="1"/>
  <c r="H132" i="1"/>
  <c r="G194" i="1" l="1"/>
  <c r="G195" i="1" l="1"/>
  <c r="G234" i="1" l="1"/>
  <c r="G262" i="1" s="1"/>
  <c r="G200" i="1"/>
  <c r="G208" i="1" s="1"/>
  <c r="H192" i="1"/>
  <c r="H193" i="1" s="1"/>
  <c r="H201" i="1" l="1"/>
  <c r="H128" i="1" s="1"/>
  <c r="H194" i="1" l="1"/>
  <c r="H195" i="1" s="1"/>
  <c r="H200" i="1" s="1"/>
  <c r="H208" i="1" s="1"/>
  <c r="H234" i="1"/>
  <c r="H262" i="1" s="1"/>
  <c r="I192" i="1"/>
  <c r="I193" i="1" s="1"/>
  <c r="I201" i="1" l="1"/>
  <c r="I128" i="1" s="1"/>
  <c r="I194" i="1" l="1"/>
  <c r="I195" i="1" s="1"/>
  <c r="I200" i="1" s="1"/>
  <c r="I208" i="1" s="1"/>
  <c r="J192" i="1"/>
  <c r="J193" i="1" s="1"/>
  <c r="I234" i="1" l="1"/>
  <c r="I262" i="1" s="1"/>
  <c r="J201" i="1"/>
  <c r="J128" i="1" s="1"/>
  <c r="J194" i="1"/>
  <c r="J195" i="1" s="1"/>
  <c r="J200" i="1" s="1"/>
  <c r="J208" i="1" s="1"/>
  <c r="J234" i="1" l="1"/>
  <c r="J262" i="1" s="1"/>
  <c r="K192" i="1"/>
  <c r="K193" i="1" s="1"/>
  <c r="K201" i="1" l="1"/>
  <c r="K128" i="1" s="1"/>
  <c r="K194" i="1" l="1"/>
  <c r="K195" i="1" s="1"/>
  <c r="K200" i="1" s="1"/>
  <c r="K208" i="1" s="1"/>
  <c r="K234" i="1" l="1"/>
  <c r="K262" i="1" s="1"/>
  <c r="G106" i="1"/>
  <c r="H106" i="1"/>
  <c r="I106" i="1"/>
  <c r="J106" i="1"/>
  <c r="K106" i="1"/>
  <c r="G108" i="1"/>
  <c r="H108" i="1"/>
  <c r="I108" i="1"/>
  <c r="J108" i="1"/>
  <c r="K108" i="1"/>
  <c r="G109" i="1"/>
  <c r="H109" i="1"/>
  <c r="I109" i="1"/>
  <c r="J109" i="1"/>
  <c r="K109" i="1"/>
  <c r="G110" i="1"/>
  <c r="H110" i="1"/>
  <c r="I110" i="1"/>
  <c r="J110" i="1"/>
  <c r="K110" i="1"/>
  <c r="G125" i="1"/>
  <c r="H125" i="1"/>
  <c r="I125" i="1"/>
  <c r="J125" i="1"/>
  <c r="K125" i="1"/>
  <c r="G133" i="1"/>
  <c r="H133" i="1"/>
  <c r="I133" i="1"/>
  <c r="J133" i="1"/>
  <c r="K133" i="1"/>
  <c r="H138" i="1"/>
  <c r="I138" i="1"/>
  <c r="J138" i="1"/>
  <c r="K138" i="1"/>
  <c r="G139" i="1"/>
  <c r="H139" i="1"/>
  <c r="I139" i="1"/>
  <c r="J139" i="1"/>
  <c r="K139" i="1"/>
  <c r="G140" i="1"/>
  <c r="H140" i="1"/>
  <c r="I140" i="1"/>
  <c r="J140" i="1"/>
  <c r="K140" i="1"/>
  <c r="G141" i="1"/>
  <c r="H141" i="1"/>
  <c r="I141" i="1"/>
  <c r="J141" i="1"/>
  <c r="K141" i="1"/>
  <c r="G142" i="1"/>
  <c r="H142" i="1"/>
  <c r="I142" i="1"/>
  <c r="J142" i="1"/>
  <c r="K142" i="1"/>
  <c r="G143" i="1"/>
  <c r="H143" i="1"/>
  <c r="I143" i="1"/>
  <c r="J143" i="1"/>
  <c r="K143" i="1"/>
  <c r="H145" i="1"/>
  <c r="I145" i="1"/>
  <c r="J145" i="1"/>
  <c r="K145" i="1"/>
  <c r="G146" i="1"/>
  <c r="H146" i="1"/>
  <c r="I146" i="1"/>
  <c r="J146" i="1"/>
  <c r="K146" i="1"/>
  <c r="G147" i="1"/>
  <c r="H147" i="1"/>
  <c r="I147" i="1"/>
  <c r="J147" i="1"/>
  <c r="K147" i="1"/>
  <c r="H159" i="1"/>
  <c r="I159" i="1"/>
  <c r="J159" i="1"/>
  <c r="K159" i="1"/>
  <c r="G160" i="1"/>
  <c r="H160" i="1"/>
  <c r="I160" i="1"/>
  <c r="J160" i="1"/>
  <c r="K160" i="1"/>
  <c r="G161" i="1"/>
  <c r="H161" i="1"/>
  <c r="I161" i="1"/>
  <c r="J161" i="1"/>
  <c r="K161" i="1"/>
  <c r="H165" i="1"/>
  <c r="I165" i="1"/>
  <c r="J165" i="1"/>
  <c r="K165" i="1"/>
  <c r="G166" i="1"/>
  <c r="H166" i="1"/>
  <c r="I166" i="1"/>
  <c r="J166" i="1"/>
  <c r="K166" i="1"/>
  <c r="G169" i="1"/>
  <c r="H169" i="1"/>
  <c r="I169" i="1"/>
  <c r="J169" i="1"/>
  <c r="K169" i="1"/>
  <c r="G172" i="1"/>
  <c r="H172" i="1"/>
  <c r="I172" i="1"/>
  <c r="J172" i="1"/>
  <c r="K172" i="1"/>
  <c r="H175" i="1"/>
  <c r="I175" i="1"/>
  <c r="J175" i="1"/>
  <c r="K175" i="1"/>
  <c r="H176" i="1"/>
  <c r="I176" i="1"/>
  <c r="J176" i="1"/>
  <c r="K176" i="1"/>
  <c r="G177" i="1"/>
  <c r="H177" i="1"/>
  <c r="I177" i="1"/>
  <c r="J177" i="1"/>
  <c r="K177" i="1"/>
  <c r="G178" i="1"/>
  <c r="H178" i="1"/>
  <c r="I178" i="1"/>
  <c r="J178" i="1"/>
  <c r="K178" i="1"/>
  <c r="G181" i="1"/>
  <c r="H181" i="1"/>
  <c r="I181" i="1"/>
  <c r="J181" i="1"/>
  <c r="K181" i="1"/>
  <c r="G204" i="1"/>
  <c r="H204" i="1"/>
  <c r="I204" i="1"/>
  <c r="J204" i="1"/>
  <c r="K204" i="1"/>
  <c r="G205" i="1"/>
  <c r="H205" i="1"/>
  <c r="I205" i="1"/>
  <c r="J205" i="1"/>
  <c r="K205" i="1"/>
  <c r="G206" i="1"/>
  <c r="H206" i="1"/>
  <c r="I206" i="1"/>
  <c r="J206" i="1"/>
  <c r="K206" i="1"/>
  <c r="G209" i="1"/>
  <c r="H209" i="1"/>
  <c r="I209" i="1"/>
  <c r="J209" i="1"/>
  <c r="K209" i="1"/>
  <c r="G215" i="1"/>
  <c r="H215" i="1"/>
  <c r="I215" i="1"/>
  <c r="J215" i="1"/>
  <c r="K215" i="1"/>
  <c r="G219" i="1"/>
  <c r="H219" i="1"/>
  <c r="I219" i="1"/>
  <c r="J219" i="1"/>
  <c r="K219" i="1"/>
  <c r="G224" i="1"/>
  <c r="H224" i="1"/>
  <c r="I224" i="1"/>
  <c r="J224" i="1"/>
  <c r="K224" i="1"/>
  <c r="G226" i="1"/>
  <c r="H226" i="1"/>
  <c r="I226" i="1"/>
  <c r="J226" i="1"/>
  <c r="K226" i="1"/>
  <c r="G230" i="1"/>
  <c r="H230" i="1"/>
  <c r="I230" i="1"/>
  <c r="J230" i="1"/>
  <c r="K230" i="1"/>
  <c r="G232" i="1"/>
  <c r="H232" i="1"/>
  <c r="I232" i="1"/>
  <c r="J232" i="1"/>
  <c r="K232" i="1"/>
  <c r="G237" i="1"/>
  <c r="H237" i="1"/>
  <c r="I237" i="1"/>
  <c r="J237" i="1"/>
  <c r="K237" i="1"/>
  <c r="G239" i="1"/>
  <c r="H239" i="1"/>
  <c r="I239" i="1"/>
  <c r="J239" i="1"/>
  <c r="K239" i="1"/>
  <c r="G241" i="1"/>
  <c r="H241" i="1"/>
  <c r="I241" i="1"/>
  <c r="J241" i="1"/>
  <c r="K241" i="1"/>
  <c r="G243" i="1"/>
  <c r="H243" i="1"/>
  <c r="I243" i="1"/>
  <c r="J243" i="1"/>
  <c r="K243" i="1"/>
  <c r="G259" i="1"/>
  <c r="H259" i="1"/>
  <c r="I259" i="1"/>
  <c r="J259" i="1"/>
  <c r="K259" i="1"/>
  <c r="G260" i="1"/>
  <c r="H260" i="1"/>
  <c r="I260" i="1"/>
  <c r="J260" i="1"/>
  <c r="K260" i="1"/>
  <c r="G263" i="1"/>
  <c r="H263" i="1"/>
  <c r="I263" i="1"/>
  <c r="J263" i="1"/>
  <c r="K263" i="1"/>
  <c r="G264" i="1"/>
  <c r="H264" i="1"/>
  <c r="I264" i="1"/>
  <c r="J264" i="1"/>
  <c r="K264" i="1"/>
  <c r="G265" i="1"/>
  <c r="H265" i="1"/>
  <c r="I265" i="1"/>
  <c r="J265" i="1"/>
  <c r="K265" i="1"/>
  <c r="G274" i="1"/>
  <c r="H274" i="1"/>
  <c r="I274" i="1"/>
  <c r="J274" i="1"/>
  <c r="K274" i="1"/>
  <c r="G275" i="1"/>
  <c r="H275" i="1"/>
  <c r="I275" i="1"/>
  <c r="J275" i="1"/>
  <c r="K275" i="1"/>
  <c r="G277" i="1"/>
  <c r="H277" i="1"/>
  <c r="I277" i="1"/>
  <c r="J277" i="1"/>
  <c r="K277" i="1"/>
  <c r="G279" i="1"/>
  <c r="H279" i="1"/>
  <c r="I279" i="1"/>
  <c r="J279" i="1"/>
  <c r="K279" i="1"/>
  <c r="G283" i="1"/>
  <c r="H284" i="1"/>
  <c r="I285" i="1"/>
  <c r="J286" i="1"/>
  <c r="K287" i="1"/>
  <c r="G289" i="1"/>
  <c r="H289" i="1"/>
  <c r="I289" i="1"/>
  <c r="J289" i="1"/>
  <c r="K289" i="1"/>
  <c r="G290" i="1"/>
  <c r="H290" i="1"/>
  <c r="I290" i="1"/>
  <c r="J290" i="1"/>
  <c r="K290" i="1"/>
  <c r="C297" i="1"/>
  <c r="C309" i="1"/>
</calcChain>
</file>

<file path=xl/sharedStrings.xml><?xml version="1.0" encoding="utf-8"?>
<sst xmlns="http://schemas.openxmlformats.org/spreadsheetml/2006/main" count="563" uniqueCount="196">
  <si>
    <t>Standard LBO Model</t>
  </si>
  <si>
    <t>Step 1. Model Assumptions</t>
  </si>
  <si>
    <t>Entry Valuation</t>
  </si>
  <si>
    <t>LTM EBITDA</t>
  </si>
  <si>
    <t>Entry Multiple</t>
  </si>
  <si>
    <t>Purchase Enterprise Value</t>
  </si>
  <si>
    <t>Transaction Assumptions</t>
  </si>
  <si>
    <t>Transaction Fees</t>
  </si>
  <si>
    <t>Financing Fees</t>
  </si>
  <si>
    <t>Cash to B/S</t>
  </si>
  <si>
    <t>Tax Rate</t>
  </si>
  <si>
    <t>Debt Assumptions</t>
  </si>
  <si>
    <t>Tranche</t>
  </si>
  <si>
    <t>x EBITDA</t>
  </si>
  <si>
    <t>$ Amount</t>
  </si>
  <si>
    <t>Rate</t>
  </si>
  <si>
    <t>Floor</t>
  </si>
  <si>
    <t>% Amort.</t>
  </si>
  <si>
    <t>Revolver</t>
  </si>
  <si>
    <t>Senior Notes</t>
  </si>
  <si>
    <t>Total Debt</t>
  </si>
  <si>
    <t>% Fee</t>
  </si>
  <si>
    <t>$ Fee</t>
  </si>
  <si>
    <t>Step 2. Sources &amp; Uses Table</t>
  </si>
  <si>
    <t>Sources &amp; Uses</t>
  </si>
  <si>
    <t>Uses</t>
  </si>
  <si>
    <t>Total Uses</t>
  </si>
  <si>
    <t>Sources</t>
  </si>
  <si>
    <t>Subordinated Notes</t>
  </si>
  <si>
    <t>Rollover Equity</t>
  </si>
  <si>
    <t>Sponsor Equity</t>
  </si>
  <si>
    <t>Total Sources</t>
  </si>
  <si>
    <t>Check</t>
  </si>
  <si>
    <t>Rollover Equity %</t>
  </si>
  <si>
    <t>Total Equity</t>
  </si>
  <si>
    <t>Goodwill Calculation</t>
  </si>
  <si>
    <t>Less: Debt</t>
  </si>
  <si>
    <t>Plus: Cash</t>
  </si>
  <si>
    <t>Purchase Equity Value</t>
  </si>
  <si>
    <t>Less: Book Value of Equity</t>
  </si>
  <si>
    <t>Plus: Existing Goodwill</t>
  </si>
  <si>
    <t>Plus: Deferred Tax Liability</t>
  </si>
  <si>
    <t>Intangible Assets Write-Up</t>
  </si>
  <si>
    <t>Deferred Tax Liability Created</t>
  </si>
  <si>
    <t>PP&amp;E Write-Up</t>
  </si>
  <si>
    <t>PP&amp;E Write-Up %</t>
  </si>
  <si>
    <t>Useful Life Assumption</t>
  </si>
  <si>
    <t>Adjustments</t>
  </si>
  <si>
    <t>Debits</t>
  </si>
  <si>
    <t>Credits</t>
  </si>
  <si>
    <t>Cash</t>
  </si>
  <si>
    <t>Accounts Receivable</t>
  </si>
  <si>
    <t>Inventory</t>
  </si>
  <si>
    <t>Prepaid Expenses</t>
  </si>
  <si>
    <t>Total Current Assets</t>
  </si>
  <si>
    <t>PP&amp;E</t>
  </si>
  <si>
    <t>Goodwill</t>
  </si>
  <si>
    <t>Intangible Assets</t>
  </si>
  <si>
    <t>Total Assets</t>
  </si>
  <si>
    <t>Accounts Payable</t>
  </si>
  <si>
    <t>Accrued Liabilities</t>
  </si>
  <si>
    <t>Total Current Liabilities</t>
  </si>
  <si>
    <t>Existing Debt</t>
  </si>
  <si>
    <t>Capitalized Financing Fees</t>
  </si>
  <si>
    <t>Deferred Tax Liability</t>
  </si>
  <si>
    <t>Total Liabilities</t>
  </si>
  <si>
    <t>Shareholders' Equity</t>
  </si>
  <si>
    <t>Total Liabilities + Equity</t>
  </si>
  <si>
    <t>Balance Check</t>
  </si>
  <si>
    <t>Income Statement</t>
  </si>
  <si>
    <t>Revenue</t>
  </si>
  <si>
    <t>Gross Profit</t>
  </si>
  <si>
    <t>Less: SG&amp;A</t>
  </si>
  <si>
    <t>Less: R&amp;D</t>
  </si>
  <si>
    <t>EBITDA</t>
  </si>
  <si>
    <t>Less: D&amp;A</t>
  </si>
  <si>
    <t>EBIT</t>
  </si>
  <si>
    <t>Less: Interest</t>
  </si>
  <si>
    <t>Less: Amortization of Financing Fees</t>
  </si>
  <si>
    <t>EBT</t>
  </si>
  <si>
    <t>Less: Taxes</t>
  </si>
  <si>
    <t>Net Income</t>
  </si>
  <si>
    <t>Balance Sheet</t>
  </si>
  <si>
    <t>Days Sales Outstanding (DSO)</t>
  </si>
  <si>
    <t>Days Inventory Held (DIH)</t>
  </si>
  <si>
    <t>Prepaid Expenses % of Revenue</t>
  </si>
  <si>
    <t>Days Payables Outstanding (DPO)</t>
  </si>
  <si>
    <t>Accrued Liabilities % of Revenue</t>
  </si>
  <si>
    <t>Cash Flow Statement</t>
  </si>
  <si>
    <t>Plus: D&amp;A</t>
  </si>
  <si>
    <t>Plus: Amortization of Financing Fees</t>
  </si>
  <si>
    <t>Less: Δ in NWC</t>
  </si>
  <si>
    <t>Cash Flow from Operating Activities</t>
  </si>
  <si>
    <t>Less: Capex</t>
  </si>
  <si>
    <t>Cash Flow from Investing Activities</t>
  </si>
  <si>
    <t>Less: Mandatory Amortization</t>
  </si>
  <si>
    <t>Free Cash Flow (Pre-Revolver)</t>
  </si>
  <si>
    <t>Revolver Drawdown / (Paydown)</t>
  </si>
  <si>
    <t>Free Cash Flow (Post-Revolver)</t>
  </si>
  <si>
    <t>Beginning Cash Balance</t>
  </si>
  <si>
    <t>Net Change in Cash Flow</t>
  </si>
  <si>
    <t>Ending Cash Balance</t>
  </si>
  <si>
    <t>Operating Assumptions</t>
  </si>
  <si>
    <t>Revenue Growth %</t>
  </si>
  <si>
    <t>Gross Margin %</t>
  </si>
  <si>
    <t>SG&amp;A % of Revenue</t>
  </si>
  <si>
    <t>R&amp;D % of Revenue</t>
  </si>
  <si>
    <t>EBITDA Margin %</t>
  </si>
  <si>
    <t>D&amp;A % of Revenue</t>
  </si>
  <si>
    <t>Capex % of Revenue</t>
  </si>
  <si>
    <t>Debt Schedule</t>
  </si>
  <si>
    <t>LIBOR (bps)</t>
  </si>
  <si>
    <t>Beginning Balance</t>
  </si>
  <si>
    <t>Ending Balance</t>
  </si>
  <si>
    <t>Beginning Available Capacity</t>
  </si>
  <si>
    <t>Ending Available Capacity</t>
  </si>
  <si>
    <t>Revolver Interest Rate</t>
  </si>
  <si>
    <t>Revolver Interest Expense</t>
  </si>
  <si>
    <t>Unused Revolver Commitment Fee</t>
  </si>
  <si>
    <t>Unused Commitment Fee</t>
  </si>
  <si>
    <t>Senior Notes Interest Rate</t>
  </si>
  <si>
    <t>Senior Notes Interest Expense</t>
  </si>
  <si>
    <t>Plus: PIK Interest</t>
  </si>
  <si>
    <t>Exit Valuation</t>
  </si>
  <si>
    <t>Exit LTM EBITDA</t>
  </si>
  <si>
    <t>Exit Multiple Assumption</t>
  </si>
  <si>
    <t>Exit Enterprise Value</t>
  </si>
  <si>
    <t>Exit Equity Value</t>
  </si>
  <si>
    <t>Cash (Outflows) / Inflows</t>
  </si>
  <si>
    <t>IRR</t>
  </si>
  <si>
    <t>MOIC</t>
  </si>
  <si>
    <t>Less: Cash Sweep</t>
  </si>
  <si>
    <t>Total Interest Expense</t>
  </si>
  <si>
    <t>Deferred Revenue</t>
  </si>
  <si>
    <t>Current Assets</t>
  </si>
  <si>
    <t>Deferred Revenue % of Revenue</t>
  </si>
  <si>
    <t>Sub Notes PIK Interest Expense</t>
  </si>
  <si>
    <t>Sub Notes Cash Interest Expense</t>
  </si>
  <si>
    <t>Sub Notes PIK Rate</t>
  </si>
  <si>
    <t>Cash Flow After Financing Activities</t>
  </si>
  <si>
    <t>Sub Notes Cash Interest Rate</t>
  </si>
  <si>
    <t>Less: Deferred Tax Liabilities</t>
  </si>
  <si>
    <t>NA</t>
  </si>
  <si>
    <t>Net Debt</t>
  </si>
  <si>
    <t>Less: Cash</t>
  </si>
  <si>
    <t>Less: Net Debt</t>
  </si>
  <si>
    <t>Less: COGS</t>
  </si>
  <si>
    <t>Total Revolver Capacity</t>
  </si>
  <si>
    <t>Step 5. Income Statement</t>
  </si>
  <si>
    <t>Step 6. Cash Flow Statement</t>
  </si>
  <si>
    <t>Step 7. Debt Schedule</t>
  </si>
  <si>
    <t>Step 8. Balance Sheet</t>
  </si>
  <si>
    <t>Step 9. Returns Calculation</t>
  </si>
  <si>
    <t>Step</t>
  </si>
  <si>
    <t>Less: Current Liabilities</t>
  </si>
  <si>
    <t>Net Working Capital</t>
  </si>
  <si>
    <t>Sponsor Implied Ownership %</t>
  </si>
  <si>
    <t>Step 10. Sensitivity Analysis</t>
  </si>
  <si>
    <t>Consulting Fees to Sponsor</t>
  </si>
  <si>
    <t>Less: Monitoring Fees</t>
  </si>
  <si>
    <t>Term Loan B</t>
  </si>
  <si>
    <t>TLB Interest Rate</t>
  </si>
  <si>
    <t>TLB Interest Expense</t>
  </si>
  <si>
    <t>Exit Proceeds to Sponsor</t>
  </si>
  <si>
    <t>Monitoring Fees</t>
  </si>
  <si>
    <t>Total Proceeds to Sponsor</t>
  </si>
  <si>
    <t>Financing Fees Amortization Period</t>
  </si>
  <si>
    <t>Total Liabilities and Equity</t>
  </si>
  <si>
    <t>Working Capital Drivers</t>
  </si>
  <si>
    <t>Net Debt Calculation</t>
  </si>
  <si>
    <t>Step 3. Purchase Price Allocation</t>
  </si>
  <si>
    <t>Step 4. Closing Balance Sheet</t>
  </si>
  <si>
    <t>NWC Calculation</t>
  </si>
  <si>
    <t>Allocable Purchase Premium</t>
  </si>
  <si>
    <t>Intangible Assets Allocation %</t>
  </si>
  <si>
    <t>Less: PP&amp;E Write-Up Depreciation</t>
  </si>
  <si>
    <t>Less: Intangible Assets Write-Up Amortization</t>
  </si>
  <si>
    <t>Plus: Intangible Assets Write-Up Amortization</t>
  </si>
  <si>
    <t>Plus: PP&amp;E Write-Up Depreciation</t>
  </si>
  <si>
    <t>Entry</t>
  </si>
  <si>
    <t>Multiple</t>
  </si>
  <si>
    <t>Exit Multiple</t>
  </si>
  <si>
    <t>Internal Rate of Return (IRR)</t>
  </si>
  <si>
    <t>Multiple on Invested Capital (MOIC)</t>
  </si>
  <si>
    <t>Circularity Toggle ("0" = On)</t>
  </si>
  <si>
    <t>Annual Unwind of DTL</t>
  </si>
  <si>
    <t>Pro Forma Goodwill</t>
  </si>
  <si>
    <t>Closing B/S Adjustments</t>
  </si>
  <si>
    <t>Interest Expense Calculation</t>
  </si>
  <si>
    <t>($ in millions)</t>
  </si>
  <si>
    <t>JoeCo Financials</t>
  </si>
  <si>
    <t>Less: Deferred Tax Liability Unwind</t>
  </si>
  <si>
    <t>Incremental Annual Amortization</t>
  </si>
  <si>
    <t>Incremental Annual Depreciation</t>
  </si>
  <si>
    <t>Less: Intangible Assets Write-Up</t>
  </si>
  <si>
    <t>Less: PP&amp;E Write-Up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</si>
</sst>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7" formatCode="&quot;$&quot;#,##0.00_);\(&quot;$&quot;#,##0.00\)"/>
    <numFmt numFmtId="164" formatCode="&quot;$&quot;#,##0_);\(&quot;$&quot;#,##0\);&quot;-  &quot;"/>
    <numFmt numFmtId="165" formatCode="0.0\x\ "/>
    <numFmt numFmtId="166" formatCode="&quot;$&quot;#,##0_);\(&quot;$&quot;#,##0\)\ ;&quot;-  &quot;"/>
    <numFmt numFmtId="167" formatCode="0.0%;\(0.0%\);&quot;-  &quot;"/>
    <numFmt numFmtId="168" formatCode="&quot;L +&quot;\ 0"/>
    <numFmt numFmtId="169" formatCode="#,##0_);\(#,##0\)\ ;&quot;-  &quot;"/>
    <numFmt numFmtId="170" formatCode="0\ &quot;Years&quot;\ "/>
    <numFmt numFmtId="171" formatCode="0.0%"/>
    <numFmt numFmtId="172" formatCode="0&quot;A&quot;"/>
    <numFmt numFmtId="173" formatCode="0&quot;PF&quot;"/>
    <numFmt numFmtId="174" formatCode="0&quot;E&quot;"/>
    <numFmt numFmtId="175" formatCode="0.0%;\(0.0%\)"/>
    <numFmt numFmtId="176" formatCode="#,##0_);\(#,##0\);&quot;-  &quot;"/>
    <numFmt numFmtId="177" formatCode="m/d/yy;@"/>
    <numFmt numFmtId="178" formatCode="0.00%;\(0.00%\)"/>
    <numFmt numFmtId="179" formatCode="&quot;Year&quot;\ 0"/>
    <numFmt numFmtId="180" formatCode="&quot;Exit Year&quot;\ 0"/>
    <numFmt numFmtId="181" formatCode="#,##0_);\(#,##0\);\-_)"/>
    <numFmt numFmtId="182" formatCode="&quot;$&quot;#,##0_);\(&quot;$&quot;#,##0\);\-_)"/>
    <numFmt numFmtId="183" formatCode="0%;\(0%\);&quot;-  &quot;"/>
    <numFmt numFmtId="184" formatCode="0\ &quot;Years&quot;"/>
    <numFmt numFmtId="185" formatCode="&quot;$&quot;#,##0.0_);\(&quot;$&quot;#,##0.0\);\-_)"/>
    <numFmt numFmtId="186" formatCode="#,##0.0_);\(#,##0.0\);\-_)"/>
    <numFmt numFmtId="187" formatCode="0.0\x"/>
  </numFmts>
  <fonts count="1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i/>
      <sz val="10"/>
      <color rgb="FF0000FF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rgb="FF0000FF"/>
      <name val="Arial"/>
      <family val="2"/>
    </font>
    <font>
      <u/>
      <sz val="1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0">
    <xf numFmtId="0" fontId="0" fillId="0" borderId="0" xfId="0"/>
    <xf numFmtId="165" fontId="4" fillId="0" borderId="1" xfId="0" applyNumberFormat="1" applyFont="1" applyBorder="1"/>
    <xf numFmtId="0" fontId="4" fillId="0" borderId="3" xfId="0" applyFont="1" applyBorder="1" applyAlignment="1">
      <alignment horizontal="center"/>
    </xf>
    <xf numFmtId="167" fontId="4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7" xfId="0" applyFont="1" applyFill="1" applyBorder="1"/>
    <xf numFmtId="0" fontId="2" fillId="2" borderId="1" xfId="0" applyFont="1" applyFill="1" applyBorder="1"/>
    <xf numFmtId="0" fontId="2" fillId="0" borderId="2" xfId="0" applyFont="1" applyBorder="1"/>
    <xf numFmtId="0" fontId="0" fillId="0" borderId="1" xfId="0" applyFont="1" applyBorder="1"/>
    <xf numFmtId="164" fontId="0" fillId="0" borderId="1" xfId="0" applyNumberFormat="1" applyFont="1" applyBorder="1"/>
    <xf numFmtId="169" fontId="0" fillId="0" borderId="1" xfId="0" applyNumberFormat="1" applyFont="1" applyBorder="1" applyAlignment="1">
      <alignment horizontal="center"/>
    </xf>
    <xf numFmtId="176" fontId="0" fillId="0" borderId="1" xfId="0" applyNumberFormat="1" applyFont="1" applyBorder="1"/>
    <xf numFmtId="165" fontId="0" fillId="0" borderId="1" xfId="0" applyNumberFormat="1" applyFont="1" applyBorder="1"/>
    <xf numFmtId="0" fontId="0" fillId="0" borderId="0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2" fillId="3" borderId="1" xfId="0" applyFont="1" applyFill="1" applyBorder="1"/>
    <xf numFmtId="172" fontId="2" fillId="3" borderId="1" xfId="0" applyNumberFormat="1" applyFont="1" applyFill="1" applyBorder="1"/>
    <xf numFmtId="0" fontId="2" fillId="3" borderId="1" xfId="0" applyFont="1" applyFill="1" applyBorder="1" applyAlignment="1">
      <alignment horizontal="centerContinuous"/>
    </xf>
    <xf numFmtId="0" fontId="0" fillId="3" borderId="1" xfId="0" applyFont="1" applyFill="1" applyBorder="1" applyAlignment="1">
      <alignment horizontal="centerContinuous"/>
    </xf>
    <xf numFmtId="173" fontId="2" fillId="3" borderId="1" xfId="0" applyNumberFormat="1" applyFont="1" applyFill="1" applyBorder="1"/>
    <xf numFmtId="174" fontId="2" fillId="3" borderId="1" xfId="0" applyNumberFormat="1" applyFont="1" applyFill="1" applyBorder="1"/>
    <xf numFmtId="166" fontId="7" fillId="0" borderId="0" xfId="0" applyNumberFormat="1" applyFont="1" applyBorder="1" applyAlignment="1">
      <alignment horizontal="right"/>
    </xf>
    <xf numFmtId="164" fontId="0" fillId="0" borderId="1" xfId="0" applyNumberFormat="1" applyFont="1" applyBorder="1" applyAlignment="1">
      <alignment horizontal="right"/>
    </xf>
    <xf numFmtId="0" fontId="0" fillId="0" borderId="0" xfId="0" applyFont="1" applyBorder="1" applyAlignment="1">
      <alignment horizontal="centerContinuous"/>
    </xf>
    <xf numFmtId="165" fontId="4" fillId="0" borderId="0" xfId="0" applyNumberFormat="1" applyFont="1" applyBorder="1"/>
    <xf numFmtId="166" fontId="2" fillId="0" borderId="0" xfId="0" applyNumberFormat="1" applyFont="1" applyBorder="1"/>
    <xf numFmtId="165" fontId="2" fillId="0" borderId="0" xfId="0" applyNumberFormat="1" applyFont="1" applyBorder="1" applyAlignment="1">
      <alignment horizontal="right"/>
    </xf>
    <xf numFmtId="164" fontId="4" fillId="0" borderId="0" xfId="0" applyNumberFormat="1" applyFont="1" applyBorder="1"/>
    <xf numFmtId="170" fontId="4" fillId="0" borderId="0" xfId="0" applyNumberFormat="1" applyFont="1" applyBorder="1"/>
    <xf numFmtId="167" fontId="4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Continuous"/>
    </xf>
    <xf numFmtId="166" fontId="0" fillId="0" borderId="0" xfId="0" applyNumberFormat="1" applyFont="1" applyBorder="1"/>
    <xf numFmtId="169" fontId="0" fillId="0" borderId="0" xfId="0" applyNumberFormat="1" applyFont="1" applyBorder="1"/>
    <xf numFmtId="0" fontId="3" fillId="0" borderId="0" xfId="0" applyFont="1" applyBorder="1"/>
    <xf numFmtId="176" fontId="0" fillId="0" borderId="0" xfId="0" applyNumberFormat="1" applyFont="1" applyBorder="1"/>
    <xf numFmtId="175" fontId="9" fillId="0" borderId="0" xfId="0" applyNumberFormat="1" applyFont="1" applyBorder="1" applyAlignment="1">
      <alignment horizontal="right"/>
    </xf>
    <xf numFmtId="176" fontId="2" fillId="0" borderId="0" xfId="0" applyNumberFormat="1" applyFont="1" applyBorder="1"/>
    <xf numFmtId="175" fontId="5" fillId="0" borderId="0" xfId="0" applyNumberFormat="1" applyFont="1" applyBorder="1" applyAlignment="1">
      <alignment horizontal="right"/>
    </xf>
    <xf numFmtId="0" fontId="2" fillId="0" borderId="0" xfId="0" applyFont="1" applyBorder="1"/>
    <xf numFmtId="164" fontId="0" fillId="0" borderId="0" xfId="0" applyNumberFormat="1" applyFont="1" applyBorder="1"/>
    <xf numFmtId="171" fontId="3" fillId="0" borderId="0" xfId="1" applyNumberFormat="1" applyFont="1" applyBorder="1"/>
    <xf numFmtId="164" fontId="0" fillId="0" borderId="0" xfId="0" applyNumberFormat="1" applyFont="1" applyBorder="1" applyAlignment="1">
      <alignment horizontal="right"/>
    </xf>
    <xf numFmtId="177" fontId="3" fillId="0" borderId="0" xfId="0" applyNumberFormat="1" applyFont="1" applyBorder="1"/>
    <xf numFmtId="0" fontId="4" fillId="0" borderId="0" xfId="0" applyFont="1" applyBorder="1" applyAlignment="1">
      <alignment horizontal="center"/>
    </xf>
    <xf numFmtId="168" fontId="4" fillId="0" borderId="0" xfId="0" applyNumberFormat="1" applyFont="1" applyBorder="1" applyAlignment="1">
      <alignment horizontal="right"/>
    </xf>
    <xf numFmtId="166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6" fillId="0" borderId="0" xfId="0" applyFont="1" applyBorder="1"/>
    <xf numFmtId="0" fontId="0" fillId="0" borderId="0" xfId="0" applyFont="1" applyFill="1" applyBorder="1"/>
    <xf numFmtId="169" fontId="3" fillId="0" borderId="0" xfId="0" applyNumberFormat="1" applyFont="1" applyBorder="1"/>
    <xf numFmtId="171" fontId="4" fillId="0" borderId="0" xfId="1" applyNumberFormat="1" applyFont="1" applyBorder="1"/>
    <xf numFmtId="169" fontId="4" fillId="0" borderId="0" xfId="0" applyNumberFormat="1" applyFont="1" applyBorder="1"/>
    <xf numFmtId="164" fontId="2" fillId="0" borderId="0" xfId="0" applyNumberFormat="1" applyFont="1" applyBorder="1"/>
    <xf numFmtId="0" fontId="7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9" fontId="0" fillId="0" borderId="0" xfId="0" applyNumberFormat="1" applyFont="1" applyBorder="1" applyAlignment="1">
      <alignment horizontal="center"/>
    </xf>
    <xf numFmtId="169" fontId="2" fillId="0" borderId="0" xfId="0" applyNumberFormat="1" applyFont="1" applyBorder="1" applyAlignment="1">
      <alignment horizontal="center"/>
    </xf>
    <xf numFmtId="175" fontId="8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169" fontId="8" fillId="0" borderId="0" xfId="0" applyNumberFormat="1" applyFont="1" applyBorder="1"/>
    <xf numFmtId="175" fontId="9" fillId="0" borderId="0" xfId="0" applyNumberFormat="1" applyFont="1" applyBorder="1"/>
    <xf numFmtId="178" fontId="8" fillId="0" borderId="0" xfId="0" applyNumberFormat="1" applyFont="1" applyBorder="1"/>
    <xf numFmtId="178" fontId="9" fillId="0" borderId="0" xfId="0" applyNumberFormat="1" applyFont="1" applyBorder="1"/>
    <xf numFmtId="171" fontId="8" fillId="0" borderId="0" xfId="1" applyNumberFormat="1" applyFont="1" applyBorder="1"/>
    <xf numFmtId="180" fontId="0" fillId="0" borderId="0" xfId="0" applyNumberFormat="1" applyFont="1" applyBorder="1" applyAlignment="1">
      <alignment horizontal="left"/>
    </xf>
    <xf numFmtId="7" fontId="0" fillId="0" borderId="0" xfId="0" applyNumberFormat="1" applyFont="1" applyBorder="1"/>
    <xf numFmtId="164" fontId="2" fillId="0" borderId="0" xfId="0" applyNumberFormat="1" applyFont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181" fontId="5" fillId="0" borderId="0" xfId="0" applyNumberFormat="1" applyFont="1" applyBorder="1"/>
    <xf numFmtId="182" fontId="5" fillId="0" borderId="0" xfId="0" applyNumberFormat="1" applyFont="1" applyBorder="1"/>
    <xf numFmtId="182" fontId="10" fillId="0" borderId="0" xfId="0" applyNumberFormat="1" applyFont="1" applyBorder="1"/>
    <xf numFmtId="182" fontId="4" fillId="0" borderId="0" xfId="0" applyNumberFormat="1" applyFont="1" applyBorder="1"/>
    <xf numFmtId="183" fontId="4" fillId="0" borderId="0" xfId="0" applyNumberFormat="1" applyFont="1" applyBorder="1" applyAlignment="1">
      <alignment horizontal="right"/>
    </xf>
    <xf numFmtId="175" fontId="8" fillId="0" borderId="0" xfId="0" applyNumberFormat="1" applyFont="1" applyBorder="1"/>
    <xf numFmtId="181" fontId="5" fillId="0" borderId="1" xfId="0" applyNumberFormat="1" applyFont="1" applyBorder="1"/>
    <xf numFmtId="184" fontId="4" fillId="0" borderId="0" xfId="0" applyNumberFormat="1" applyFont="1" applyBorder="1"/>
    <xf numFmtId="181" fontId="9" fillId="0" borderId="0" xfId="0" applyNumberFormat="1" applyFont="1" applyBorder="1"/>
    <xf numFmtId="182" fontId="11" fillId="0" borderId="0" xfId="0" applyNumberFormat="1" applyFont="1" applyBorder="1"/>
    <xf numFmtId="181" fontId="4" fillId="0" borderId="1" xfId="0" applyNumberFormat="1" applyFont="1" applyBorder="1"/>
    <xf numFmtId="181" fontId="4" fillId="0" borderId="0" xfId="0" applyNumberFormat="1" applyFont="1" applyBorder="1"/>
    <xf numFmtId="175" fontId="4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7" fontId="4" fillId="0" borderId="0" xfId="0" applyNumberFormat="1" applyFont="1" applyBorder="1"/>
    <xf numFmtId="167" fontId="4" fillId="0" borderId="1" xfId="0" applyNumberFormat="1" applyFont="1" applyBorder="1"/>
    <xf numFmtId="181" fontId="10" fillId="0" borderId="0" xfId="0" applyNumberFormat="1" applyFont="1" applyBorder="1"/>
    <xf numFmtId="164" fontId="7" fillId="0" borderId="0" xfId="0" applyNumberFormat="1" applyFont="1" applyBorder="1"/>
    <xf numFmtId="0" fontId="2" fillId="0" borderId="5" xfId="0" applyFont="1" applyBorder="1"/>
    <xf numFmtId="182" fontId="10" fillId="0" borderId="5" xfId="0" applyNumberFormat="1" applyFont="1" applyBorder="1"/>
    <xf numFmtId="176" fontId="2" fillId="0" borderId="5" xfId="0" applyNumberFormat="1" applyFont="1" applyBorder="1"/>
    <xf numFmtId="176" fontId="0" fillId="0" borderId="5" xfId="0" applyNumberFormat="1" applyFont="1" applyBorder="1"/>
    <xf numFmtId="169" fontId="2" fillId="0" borderId="5" xfId="0" applyNumberFormat="1" applyFont="1" applyBorder="1" applyAlignment="1">
      <alignment horizontal="center"/>
    </xf>
    <xf numFmtId="185" fontId="5" fillId="0" borderId="0" xfId="0" applyNumberFormat="1" applyFont="1" applyBorder="1"/>
    <xf numFmtId="186" fontId="5" fillId="0" borderId="0" xfId="0" applyNumberFormat="1" applyFont="1" applyBorder="1"/>
    <xf numFmtId="187" fontId="0" fillId="0" borderId="0" xfId="0" applyNumberFormat="1" applyFont="1" applyBorder="1"/>
    <xf numFmtId="187" fontId="4" fillId="0" borderId="0" xfId="0" applyNumberFormat="1" applyFont="1" applyBorder="1"/>
    <xf numFmtId="187" fontId="13" fillId="0" borderId="0" xfId="0" applyNumberFormat="1" applyFont="1" applyBorder="1"/>
    <xf numFmtId="171" fontId="13" fillId="0" borderId="0" xfId="0" applyNumberFormat="1" applyFont="1" applyBorder="1"/>
    <xf numFmtId="175" fontId="0" fillId="0" borderId="0" xfId="0" applyNumberFormat="1" applyFont="1" applyBorder="1"/>
    <xf numFmtId="175" fontId="0" fillId="0" borderId="4" xfId="0" applyNumberFormat="1" applyFont="1" applyBorder="1"/>
    <xf numFmtId="175" fontId="0" fillId="0" borderId="5" xfId="0" applyNumberFormat="1" applyFont="1" applyBorder="1"/>
    <xf numFmtId="175" fontId="0" fillId="0" borderId="6" xfId="0" applyNumberFormat="1" applyFont="1" applyBorder="1"/>
    <xf numFmtId="175" fontId="0" fillId="0" borderId="11" xfId="0" applyNumberFormat="1" applyFont="1" applyBorder="1"/>
    <xf numFmtId="175" fontId="0" fillId="0" borderId="12" xfId="0" applyNumberFormat="1" applyFont="1" applyBorder="1"/>
    <xf numFmtId="175" fontId="0" fillId="0" borderId="7" xfId="0" applyNumberFormat="1" applyFont="1" applyBorder="1"/>
    <xf numFmtId="175" fontId="0" fillId="0" borderId="1" xfId="0" applyNumberFormat="1" applyFont="1" applyBorder="1"/>
    <xf numFmtId="175" fontId="0" fillId="0" borderId="8" xfId="0" applyNumberFormat="1" applyFont="1" applyBorder="1"/>
    <xf numFmtId="187" fontId="0" fillId="0" borderId="4" xfId="0" applyNumberFormat="1" applyFont="1" applyBorder="1"/>
    <xf numFmtId="187" fontId="0" fillId="0" borderId="5" xfId="0" applyNumberFormat="1" applyFont="1" applyBorder="1"/>
    <xf numFmtId="187" fontId="0" fillId="0" borderId="6" xfId="0" applyNumberFormat="1" applyFont="1" applyBorder="1"/>
    <xf numFmtId="187" fontId="0" fillId="0" borderId="11" xfId="0" applyNumberFormat="1" applyFont="1" applyBorder="1"/>
    <xf numFmtId="187" fontId="0" fillId="0" borderId="12" xfId="0" applyNumberFormat="1" applyFont="1" applyBorder="1"/>
    <xf numFmtId="187" fontId="0" fillId="0" borderId="7" xfId="0" applyNumberFormat="1" applyFont="1" applyBorder="1"/>
    <xf numFmtId="187" fontId="0" fillId="0" borderId="1" xfId="0" applyNumberFormat="1" applyFont="1" applyBorder="1"/>
    <xf numFmtId="187" fontId="0" fillId="0" borderId="8" xfId="0" applyNumberFormat="1" applyFont="1" applyBorder="1"/>
    <xf numFmtId="0" fontId="2" fillId="4" borderId="9" xfId="0" applyFont="1" applyFill="1" applyBorder="1" applyAlignment="1">
      <alignment horizontal="centerContinuous"/>
    </xf>
    <xf numFmtId="0" fontId="0" fillId="4" borderId="2" xfId="0" applyFont="1" applyFill="1" applyBorder="1" applyAlignment="1">
      <alignment horizontal="centerContinuous"/>
    </xf>
    <xf numFmtId="0" fontId="0" fillId="4" borderId="10" xfId="0" applyFont="1" applyFill="1" applyBorder="1" applyAlignment="1">
      <alignment horizontal="centerContinuous"/>
    </xf>
    <xf numFmtId="0" fontId="2" fillId="4" borderId="1" xfId="0" applyFont="1" applyFill="1" applyBorder="1"/>
    <xf numFmtId="179" fontId="2" fillId="4" borderId="1" xfId="0" applyNumberFormat="1" applyFont="1" applyFill="1" applyBorder="1" applyAlignment="1">
      <alignment horizontal="right"/>
    </xf>
    <xf numFmtId="176" fontId="2" fillId="4" borderId="1" xfId="0" applyNumberFormat="1" applyFont="1" applyFill="1" applyBorder="1"/>
    <xf numFmtId="187" fontId="2" fillId="2" borderId="1" xfId="0" applyNumberFormat="1" applyFont="1" applyFill="1" applyBorder="1"/>
    <xf numFmtId="187" fontId="2" fillId="2" borderId="8" xfId="0" applyNumberFormat="1" applyFont="1" applyFill="1" applyBorder="1"/>
    <xf numFmtId="0" fontId="2" fillId="0" borderId="9" xfId="0" applyFont="1" applyFill="1" applyBorder="1"/>
    <xf numFmtId="0" fontId="0" fillId="0" borderId="2" xfId="0" applyFont="1" applyFill="1" applyBorder="1"/>
    <xf numFmtId="182" fontId="10" fillId="0" borderId="10" xfId="0" applyNumberFormat="1" applyFont="1" applyBorder="1"/>
    <xf numFmtId="0" fontId="2" fillId="0" borderId="2" xfId="0" applyFont="1" applyFill="1" applyBorder="1"/>
    <xf numFmtId="164" fontId="0" fillId="0" borderId="0" xfId="0" applyNumberFormat="1" applyFont="1" applyFill="1" applyBorder="1"/>
    <xf numFmtId="178" fontId="8" fillId="0" borderId="0" xfId="0" applyNumberFormat="1" applyFont="1" applyBorder="1" applyAlignment="1">
      <alignment horizontal="center"/>
    </xf>
    <xf numFmtId="175" fontId="3" fillId="0" borderId="1" xfId="1" applyNumberFormat="1" applyFont="1" applyBorder="1"/>
    <xf numFmtId="182" fontId="4" fillId="0" borderId="0" xfId="0" applyNumberFormat="1" applyFont="1" applyBorder="1" applyAlignment="1">
      <alignment horizontal="right"/>
    </xf>
    <xf numFmtId="175" fontId="2" fillId="2" borderId="5" xfId="1" applyNumberFormat="1" applyFont="1" applyFill="1" applyBorder="1"/>
    <xf numFmtId="175" fontId="2" fillId="2" borderId="6" xfId="1" applyNumberFormat="1" applyFont="1" applyFill="1" applyBorder="1"/>
    <xf numFmtId="182" fontId="5" fillId="5" borderId="0" xfId="0" applyNumberFormat="1" applyFont="1" applyFill="1" applyBorder="1"/>
    <xf numFmtId="165" fontId="4" fillId="5" borderId="1" xfId="0" applyNumberFormat="1" applyFont="1" applyFill="1" applyBorder="1"/>
    <xf numFmtId="182" fontId="10" fillId="5" borderId="0" xfId="0" applyNumberFormat="1" applyFont="1" applyFill="1" applyBorder="1"/>
    <xf numFmtId="182" fontId="4" fillId="5" borderId="0" xfId="0" applyNumberFormat="1" applyFont="1" applyFill="1" applyBorder="1"/>
    <xf numFmtId="181" fontId="4" fillId="5" borderId="0" xfId="0" applyNumberFormat="1" applyFont="1" applyFill="1" applyBorder="1"/>
    <xf numFmtId="167" fontId="4" fillId="5" borderId="0" xfId="0" applyNumberFormat="1" applyFont="1" applyFill="1" applyBorder="1" applyAlignment="1">
      <alignment horizontal="right"/>
    </xf>
    <xf numFmtId="170" fontId="4" fillId="5" borderId="0" xfId="0" applyNumberFormat="1" applyFont="1" applyFill="1" applyBorder="1"/>
    <xf numFmtId="183" fontId="4" fillId="5" borderId="0" xfId="0" applyNumberFormat="1" applyFont="1" applyFill="1" applyBorder="1" applyAlignment="1">
      <alignment horizontal="right"/>
    </xf>
    <xf numFmtId="165" fontId="4" fillId="5" borderId="0" xfId="0" applyNumberFormat="1" applyFont="1" applyFill="1" applyBorder="1"/>
    <xf numFmtId="181" fontId="5" fillId="5" borderId="0" xfId="0" applyNumberFormat="1" applyFont="1" applyFill="1" applyBorder="1"/>
    <xf numFmtId="168" fontId="4" fillId="5" borderId="0" xfId="0" applyNumberFormat="1" applyFont="1" applyFill="1" applyBorder="1" applyAlignment="1">
      <alignment horizontal="right"/>
    </xf>
    <xf numFmtId="167" fontId="4" fillId="5" borderId="0" xfId="0" applyNumberFormat="1" applyFont="1" applyFill="1" applyBorder="1"/>
    <xf numFmtId="181" fontId="5" fillId="5" borderId="1" xfId="0" applyNumberFormat="1" applyFont="1" applyFill="1" applyBorder="1"/>
    <xf numFmtId="167" fontId="4" fillId="5" borderId="1" xfId="0" applyNumberFormat="1" applyFont="1" applyFill="1" applyBorder="1" applyAlignment="1">
      <alignment horizontal="right"/>
    </xf>
    <xf numFmtId="167" fontId="4" fillId="5" borderId="1" xfId="0" applyNumberFormat="1" applyFont="1" applyFill="1" applyBorder="1"/>
    <xf numFmtId="166" fontId="2" fillId="5" borderId="0" xfId="0" applyNumberFormat="1" applyFont="1" applyFill="1" applyBorder="1" applyAlignment="1">
      <alignment horizontal="right"/>
    </xf>
    <xf numFmtId="165" fontId="2" fillId="5" borderId="0" xfId="0" applyNumberFormat="1" applyFont="1" applyFill="1" applyBorder="1" applyAlignment="1">
      <alignment horizontal="right"/>
    </xf>
    <xf numFmtId="182" fontId="10" fillId="5" borderId="10" xfId="0" applyNumberFormat="1" applyFont="1" applyFill="1" applyBorder="1"/>
    <xf numFmtId="169" fontId="3" fillId="5" borderId="0" xfId="0" applyNumberFormat="1" applyFont="1" applyFill="1" applyBorder="1"/>
    <xf numFmtId="171" fontId="4" fillId="5" borderId="0" xfId="1" applyNumberFormat="1" applyFont="1" applyFill="1" applyBorder="1"/>
    <xf numFmtId="184" fontId="4" fillId="5" borderId="0" xfId="0" applyNumberFormat="1" applyFont="1" applyFill="1" applyBorder="1"/>
    <xf numFmtId="169" fontId="0" fillId="5" borderId="0" xfId="0" applyNumberFormat="1" applyFont="1" applyFill="1" applyBorder="1"/>
    <xf numFmtId="166" fontId="0" fillId="5" borderId="0" xfId="0" applyNumberFormat="1" applyFont="1" applyFill="1" applyBorder="1"/>
    <xf numFmtId="181" fontId="4" fillId="5" borderId="1" xfId="0" applyNumberFormat="1" applyFont="1" applyFill="1" applyBorder="1"/>
    <xf numFmtId="169" fontId="0" fillId="5" borderId="0" xfId="0" applyNumberFormat="1" applyFont="1" applyFill="1" applyBorder="1" applyAlignment="1">
      <alignment horizontal="center"/>
    </xf>
    <xf numFmtId="182" fontId="10" fillId="5" borderId="5" xfId="0" applyNumberFormat="1" applyFont="1" applyFill="1" applyBorder="1"/>
    <xf numFmtId="169" fontId="0" fillId="5" borderId="1" xfId="0" applyNumberFormat="1" applyFont="1" applyFill="1" applyBorder="1" applyAlignment="1">
      <alignment horizontal="center"/>
    </xf>
    <xf numFmtId="182" fontId="11" fillId="5" borderId="0" xfId="0" applyNumberFormat="1" applyFont="1" applyFill="1" applyBorder="1"/>
    <xf numFmtId="169" fontId="2" fillId="5" borderId="0" xfId="0" applyNumberFormat="1" applyFont="1" applyFill="1" applyBorder="1" applyAlignment="1">
      <alignment horizontal="center"/>
    </xf>
    <xf numFmtId="181" fontId="9" fillId="5" borderId="0" xfId="0" applyNumberFormat="1" applyFont="1" applyFill="1" applyBorder="1"/>
    <xf numFmtId="175" fontId="8" fillId="5" borderId="0" xfId="0" applyNumberFormat="1" applyFont="1" applyFill="1" applyBorder="1" applyAlignment="1">
      <alignment horizontal="right"/>
    </xf>
    <xf numFmtId="175" fontId="9" fillId="5" borderId="0" xfId="0" applyNumberFormat="1" applyFont="1" applyFill="1" applyBorder="1" applyAlignment="1">
      <alignment horizontal="right"/>
    </xf>
    <xf numFmtId="178" fontId="8" fillId="5" borderId="0" xfId="0" applyNumberFormat="1" applyFont="1" applyFill="1" applyBorder="1" applyAlignment="1">
      <alignment horizontal="center"/>
    </xf>
    <xf numFmtId="164" fontId="0" fillId="5" borderId="0" xfId="0" applyNumberFormat="1" applyFont="1" applyFill="1" applyBorder="1"/>
    <xf numFmtId="176" fontId="0" fillId="5" borderId="1" xfId="0" applyNumberFormat="1" applyFont="1" applyFill="1" applyBorder="1"/>
    <xf numFmtId="164" fontId="2" fillId="5" borderId="0" xfId="0" applyNumberFormat="1" applyFont="1" applyFill="1" applyBorder="1"/>
    <xf numFmtId="175" fontId="9" fillId="5" borderId="0" xfId="0" applyNumberFormat="1" applyFont="1" applyFill="1" applyBorder="1"/>
    <xf numFmtId="178" fontId="8" fillId="5" borderId="0" xfId="0" applyNumberFormat="1" applyFont="1" applyFill="1" applyBorder="1"/>
    <xf numFmtId="178" fontId="9" fillId="5" borderId="0" xfId="0" applyNumberFormat="1" applyFont="1" applyFill="1" applyBorder="1"/>
    <xf numFmtId="185" fontId="5" fillId="5" borderId="0" xfId="0" applyNumberFormat="1" applyFont="1" applyFill="1" applyBorder="1"/>
    <xf numFmtId="175" fontId="8" fillId="5" borderId="0" xfId="0" applyNumberFormat="1" applyFont="1" applyFill="1" applyBorder="1"/>
    <xf numFmtId="186" fontId="5" fillId="5" borderId="0" xfId="0" applyNumberFormat="1" applyFont="1" applyFill="1" applyBorder="1"/>
    <xf numFmtId="169" fontId="4" fillId="5" borderId="0" xfId="0" applyNumberFormat="1" applyFont="1" applyFill="1" applyBorder="1"/>
    <xf numFmtId="171" fontId="3" fillId="5" borderId="0" xfId="1" applyNumberFormat="1" applyFont="1" applyFill="1" applyBorder="1"/>
    <xf numFmtId="171" fontId="8" fillId="5" borderId="0" xfId="1" applyNumberFormat="1" applyFont="1" applyFill="1" applyBorder="1"/>
    <xf numFmtId="164" fontId="0" fillId="5" borderId="0" xfId="0" applyNumberFormat="1" applyFont="1" applyFill="1" applyBorder="1" applyAlignment="1">
      <alignment horizontal="right"/>
    </xf>
    <xf numFmtId="164" fontId="2" fillId="5" borderId="0" xfId="0" applyNumberFormat="1" applyFont="1" applyFill="1" applyBorder="1" applyAlignment="1">
      <alignment horizontal="right"/>
    </xf>
    <xf numFmtId="165" fontId="0" fillId="5" borderId="1" xfId="0" applyNumberFormat="1" applyFont="1" applyFill="1" applyBorder="1"/>
    <xf numFmtId="175" fontId="3" fillId="5" borderId="1" xfId="1" applyNumberFormat="1" applyFont="1" applyFill="1" applyBorder="1"/>
    <xf numFmtId="182" fontId="4" fillId="5" borderId="0" xfId="0" applyNumberFormat="1" applyFont="1" applyFill="1" applyBorder="1" applyAlignment="1">
      <alignment horizontal="right"/>
    </xf>
    <xf numFmtId="171" fontId="13" fillId="5" borderId="0" xfId="0" applyNumberFormat="1" applyFont="1" applyFill="1" applyBorder="1"/>
    <xf numFmtId="187" fontId="13" fillId="5" borderId="0" xfId="0" applyNumberFormat="1" applyFont="1" applyFill="1" applyBorder="1"/>
    <xf numFmtId="187" fontId="0" fillId="5" borderId="0" xfId="0" applyNumberFormat="1" applyFont="1" applyFill="1" applyBorder="1"/>
    <xf numFmtId="187" fontId="4" fillId="5" borderId="0" xfId="0" applyNumberFormat="1" applyFont="1" applyFill="1" applyBorder="1"/>
    <xf numFmtId="182" fontId="4" fillId="0" borderId="1" xfId="0" applyNumberFormat="1" applyFont="1" applyBorder="1"/>
    <xf numFmtId="0" fontId="0" fillId="0" borderId="1" xfId="0" applyBorder="1"/>
    <xf numFmtId="187" fontId="0" fillId="5" borderId="4" xfId="0" applyNumberFormat="1" applyFont="1" applyFill="1" applyBorder="1"/>
    <xf numFmtId="187" fontId="0" fillId="5" borderId="5" xfId="0" applyNumberFormat="1" applyFont="1" applyFill="1" applyBorder="1"/>
    <xf numFmtId="187" fontId="0" fillId="5" borderId="6" xfId="0" applyNumberFormat="1" applyFont="1" applyFill="1" applyBorder="1"/>
    <xf numFmtId="187" fontId="0" fillId="5" borderId="11" xfId="0" applyNumberFormat="1" applyFont="1" applyFill="1" applyBorder="1"/>
    <xf numFmtId="187" fontId="0" fillId="5" borderId="12" xfId="0" applyNumberFormat="1" applyFont="1" applyFill="1" applyBorder="1"/>
    <xf numFmtId="187" fontId="0" fillId="5" borderId="7" xfId="0" applyNumberFormat="1" applyFont="1" applyFill="1" applyBorder="1"/>
    <xf numFmtId="187" fontId="0" fillId="5" borderId="1" xfId="0" applyNumberFormat="1" applyFont="1" applyFill="1" applyBorder="1"/>
    <xf numFmtId="187" fontId="0" fillId="5" borderId="8" xfId="0" applyNumberFormat="1" applyFont="1" applyFill="1" applyBorder="1"/>
    <xf numFmtId="175" fontId="0" fillId="5" borderId="4" xfId="0" applyNumberFormat="1" applyFont="1" applyFill="1" applyBorder="1"/>
    <xf numFmtId="175" fontId="0" fillId="5" borderId="5" xfId="0" applyNumberFormat="1" applyFont="1" applyFill="1" applyBorder="1"/>
    <xf numFmtId="175" fontId="0" fillId="5" borderId="6" xfId="0" applyNumberFormat="1" applyFont="1" applyFill="1" applyBorder="1"/>
    <xf numFmtId="175" fontId="0" fillId="5" borderId="11" xfId="0" applyNumberFormat="1" applyFont="1" applyFill="1" applyBorder="1"/>
    <xf numFmtId="175" fontId="0" fillId="5" borderId="0" xfId="0" applyNumberFormat="1" applyFont="1" applyFill="1" applyBorder="1"/>
    <xf numFmtId="175" fontId="0" fillId="5" borderId="12" xfId="0" applyNumberFormat="1" applyFont="1" applyFill="1" applyBorder="1"/>
    <xf numFmtId="175" fontId="0" fillId="5" borderId="7" xfId="0" applyNumberFormat="1" applyFont="1" applyFill="1" applyBorder="1"/>
    <xf numFmtId="175" fontId="0" fillId="5" borderId="1" xfId="0" applyNumberFormat="1" applyFont="1" applyFill="1" applyBorder="1"/>
    <xf numFmtId="175" fontId="0" fillId="5" borderId="8" xfId="0" applyNumberFormat="1" applyFont="1" applyFill="1" applyBorder="1"/>
    <xf numFmtId="180" fontId="0" fillId="0" borderId="0" xfId="0" applyNumberFormat="1" applyFont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8"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rgb="FFFFC7CE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auto="1"/>
      </font>
      <fill>
        <patternFill>
          <bgColor rgb="FFFFC7CE"/>
        </patternFill>
      </fill>
    </dxf>
    <dxf>
      <font>
        <color rgb="FF008000"/>
      </font>
    </dxf>
    <dxf>
      <font>
        <color rgb="FF9C0006"/>
      </font>
    </dxf>
    <dxf>
      <font>
        <color rgb="FF008000"/>
      </font>
    </dxf>
    <dxf>
      <font>
        <color rgb="FF9C0006"/>
      </font>
    </dxf>
  </dxfs>
  <tableStyles count="0" defaultTableStyle="TableStyleMedium2" defaultPivotStyle="PivotStyleLight16"/>
  <colors>
    <mruColors>
      <color rgb="FF0000FF"/>
      <color rgb="FF008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31938</xdr:colOff>
      <xdr:row>0</xdr:row>
      <xdr:rowOff>134471</xdr:rowOff>
    </xdr:from>
    <xdr:to>
      <xdr:col>2</xdr:col>
      <xdr:colOff>595857</xdr:colOff>
      <xdr:row>1</xdr:row>
      <xdr:rowOff>149342</xdr:rowOff>
    </xdr:to>
    <xdr:pic>
      <xdr:nvPicPr>
        <xdr:cNvPr id="3" name="Google Shape;17;p2">
          <a:extLst>
            <a:ext uri="{FF2B5EF4-FFF2-40B4-BE49-F238E27FC236}">
              <a16:creationId xmlns:a16="http://schemas.microsoft.com/office/drawing/2014/main" id="{1D546467-C30B-4EB2-B49F-6E6E481B9BB3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>
          <a:alphaModFix/>
        </a:blip>
        <a:srcRect/>
        <a:stretch/>
      </xdr:blipFill>
      <xdr:spPr>
        <a:xfrm>
          <a:off x="141476" y="134471"/>
          <a:ext cx="1283056" cy="1767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33328</xdr:colOff>
      <xdr:row>0</xdr:row>
      <xdr:rowOff>132637</xdr:rowOff>
    </xdr:from>
    <xdr:to>
      <xdr:col>2</xdr:col>
      <xdr:colOff>599768</xdr:colOff>
      <xdr:row>1</xdr:row>
      <xdr:rowOff>146948</xdr:rowOff>
    </xdr:to>
    <xdr:pic>
      <xdr:nvPicPr>
        <xdr:cNvPr id="2" name="Google Shape;17;p2">
          <a:extLst>
            <a:ext uri="{FF2B5EF4-FFF2-40B4-BE49-F238E27FC236}">
              <a16:creationId xmlns:a16="http://schemas.microsoft.com/office/drawing/2014/main" id="{5784DABB-4C46-4BCF-BE3B-CC4890A19F15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>
          <a:alphaModFix/>
        </a:blip>
        <a:srcRect/>
        <a:stretch/>
      </xdr:blipFill>
      <xdr:spPr>
        <a:xfrm>
          <a:off x="142866" y="132637"/>
          <a:ext cx="1285577" cy="1762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33328</xdr:colOff>
      <xdr:row>0</xdr:row>
      <xdr:rowOff>132637</xdr:rowOff>
    </xdr:from>
    <xdr:to>
      <xdr:col>2</xdr:col>
      <xdr:colOff>607257</xdr:colOff>
      <xdr:row>1</xdr:row>
      <xdr:rowOff>150353</xdr:rowOff>
    </xdr:to>
    <xdr:pic>
      <xdr:nvPicPr>
        <xdr:cNvPr id="2" name="Google Shape;17;p2">
          <a:extLst>
            <a:ext uri="{FF2B5EF4-FFF2-40B4-BE49-F238E27FC236}">
              <a16:creationId xmlns:a16="http://schemas.microsoft.com/office/drawing/2014/main" id="{4CF61631-D472-45F3-9636-6F7D6E10BC70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>
          <a:alphaModFix/>
        </a:blip>
        <a:srcRect/>
        <a:stretch/>
      </xdr:blipFill>
      <xdr:spPr>
        <a:xfrm>
          <a:off x="142956" y="132637"/>
          <a:ext cx="1285397" cy="1760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08A06-6C00-4FAE-A45F-59187B71FC97}">
  <dimension ref="B3:G44"/>
  <sheetViews>
    <sheetView showGridLines="0" tabSelected="1" zoomScaleNormal="100" workbookViewId="0"/>
  </sheetViews>
  <sheetFormatPr defaultRowHeight="12.75" x14ac:dyDescent="0.35"/>
  <cols>
    <col min="1" max="1" width="1.53125" bestFit="1" customWidth="1"/>
    <col min="2" max="2" width="10.06640625" customWidth="1"/>
    <col min="3" max="7" width="9.1328125" customWidth="1"/>
  </cols>
  <sheetData>
    <row r="3" spans="2:7" ht="13.15" x14ac:dyDescent="0.4">
      <c r="B3" s="9" t="s">
        <v>190</v>
      </c>
      <c r="C3" s="9"/>
      <c r="D3" s="9"/>
      <c r="E3" s="9"/>
      <c r="F3" s="9"/>
      <c r="G3" s="9"/>
    </row>
    <row r="4" spans="2:7" x14ac:dyDescent="0.35">
      <c r="B4" s="37" t="s">
        <v>189</v>
      </c>
    </row>
    <row r="5" spans="2:7" x14ac:dyDescent="0.35">
      <c r="B5" s="37"/>
    </row>
    <row r="6" spans="2:7" ht="13.15" x14ac:dyDescent="0.4">
      <c r="B6" s="19" t="s">
        <v>82</v>
      </c>
      <c r="C6" s="19"/>
      <c r="D6" s="19"/>
      <c r="E6" s="19"/>
      <c r="F6" s="19"/>
      <c r="G6" s="20">
        <v>2020</v>
      </c>
    </row>
    <row r="7" spans="2:7" x14ac:dyDescent="0.35">
      <c r="B7" s="15"/>
      <c r="C7" s="15"/>
      <c r="D7" s="15"/>
      <c r="E7" s="15"/>
      <c r="F7" s="15"/>
      <c r="G7" s="15"/>
    </row>
    <row r="8" spans="2:7" x14ac:dyDescent="0.35">
      <c r="B8" s="15" t="s">
        <v>50</v>
      </c>
      <c r="C8" s="15"/>
      <c r="D8" s="15"/>
      <c r="E8" s="15"/>
      <c r="F8" s="15"/>
      <c r="G8" s="75">
        <v>50</v>
      </c>
    </row>
    <row r="9" spans="2:7" x14ac:dyDescent="0.35">
      <c r="B9" s="15" t="s">
        <v>51</v>
      </c>
      <c r="C9" s="15"/>
      <c r="D9" s="15"/>
      <c r="E9" s="15"/>
      <c r="F9" s="15"/>
      <c r="G9" s="83">
        <v>30</v>
      </c>
    </row>
    <row r="10" spans="2:7" x14ac:dyDescent="0.35">
      <c r="B10" s="15" t="s">
        <v>52</v>
      </c>
      <c r="C10" s="15"/>
      <c r="D10" s="15"/>
      <c r="E10" s="15"/>
      <c r="F10" s="15"/>
      <c r="G10" s="83">
        <v>75</v>
      </c>
    </row>
    <row r="11" spans="2:7" x14ac:dyDescent="0.35">
      <c r="B11" s="10" t="s">
        <v>53</v>
      </c>
      <c r="C11" s="10"/>
      <c r="D11" s="10"/>
      <c r="E11" s="10"/>
      <c r="F11" s="10"/>
      <c r="G11" s="82">
        <v>15</v>
      </c>
    </row>
    <row r="12" spans="2:7" ht="13.15" x14ac:dyDescent="0.4">
      <c r="B12" s="42" t="s">
        <v>54</v>
      </c>
      <c r="C12" s="42"/>
      <c r="D12" s="42"/>
      <c r="E12" s="42"/>
      <c r="F12" s="42"/>
      <c r="G12" s="74">
        <f>+SUM(G8:G11)</f>
        <v>170</v>
      </c>
    </row>
    <row r="13" spans="2:7" x14ac:dyDescent="0.35">
      <c r="B13" s="15"/>
      <c r="C13" s="15"/>
      <c r="D13" s="15"/>
      <c r="E13" s="15"/>
      <c r="F13" s="15"/>
      <c r="G13" s="15"/>
    </row>
    <row r="14" spans="2:7" x14ac:dyDescent="0.35">
      <c r="B14" s="15" t="s">
        <v>55</v>
      </c>
      <c r="C14" s="15"/>
      <c r="D14" s="15"/>
      <c r="E14" s="15"/>
      <c r="F14" s="15"/>
      <c r="G14" s="75">
        <v>83</v>
      </c>
    </row>
    <row r="15" spans="2:7" x14ac:dyDescent="0.35">
      <c r="B15" s="15" t="s">
        <v>56</v>
      </c>
      <c r="C15" s="15"/>
      <c r="D15" s="15"/>
      <c r="E15" s="15"/>
      <c r="F15" s="15"/>
      <c r="G15" s="83">
        <v>28</v>
      </c>
    </row>
    <row r="16" spans="2:7" x14ac:dyDescent="0.35">
      <c r="B16" s="15" t="s">
        <v>57</v>
      </c>
      <c r="C16" s="15"/>
      <c r="D16" s="15"/>
      <c r="E16" s="15"/>
      <c r="F16" s="15"/>
      <c r="G16" s="83">
        <v>36</v>
      </c>
    </row>
    <row r="17" spans="2:7" ht="13.15" x14ac:dyDescent="0.4">
      <c r="B17" s="90" t="s">
        <v>58</v>
      </c>
      <c r="C17" s="90"/>
      <c r="D17" s="90"/>
      <c r="E17" s="90"/>
      <c r="F17" s="90"/>
      <c r="G17" s="91">
        <f>+SUM(G12,G14:G16)</f>
        <v>317</v>
      </c>
    </row>
    <row r="18" spans="2:7" x14ac:dyDescent="0.35">
      <c r="B18" s="15"/>
      <c r="C18" s="15"/>
      <c r="D18" s="15"/>
      <c r="E18" s="15"/>
      <c r="F18" s="15"/>
      <c r="G18" s="15"/>
    </row>
    <row r="19" spans="2:7" x14ac:dyDescent="0.35">
      <c r="B19" s="15" t="s">
        <v>59</v>
      </c>
      <c r="C19" s="15"/>
      <c r="D19" s="15"/>
      <c r="E19" s="15"/>
      <c r="F19" s="15"/>
      <c r="G19" s="75">
        <v>55</v>
      </c>
    </row>
    <row r="20" spans="2:7" x14ac:dyDescent="0.35">
      <c r="B20" s="15" t="s">
        <v>60</v>
      </c>
      <c r="C20" s="15"/>
      <c r="D20" s="15"/>
      <c r="E20" s="15"/>
      <c r="F20" s="15"/>
      <c r="G20" s="83">
        <v>37</v>
      </c>
    </row>
    <row r="21" spans="2:7" x14ac:dyDescent="0.35">
      <c r="B21" s="10" t="s">
        <v>133</v>
      </c>
      <c r="C21" s="10"/>
      <c r="D21" s="10"/>
      <c r="E21" s="10"/>
      <c r="F21" s="10"/>
      <c r="G21" s="82">
        <v>10</v>
      </c>
    </row>
    <row r="22" spans="2:7" ht="13.15" x14ac:dyDescent="0.4">
      <c r="B22" s="42" t="s">
        <v>61</v>
      </c>
      <c r="C22" s="42"/>
      <c r="D22" s="42"/>
      <c r="E22" s="42"/>
      <c r="F22" s="42"/>
      <c r="G22" s="74">
        <f>+SUM(G19:G21)</f>
        <v>102</v>
      </c>
    </row>
    <row r="23" spans="2:7" x14ac:dyDescent="0.35">
      <c r="B23" s="15"/>
      <c r="C23" s="15"/>
      <c r="D23" s="15"/>
      <c r="E23" s="15"/>
      <c r="F23" s="15"/>
      <c r="G23" s="15"/>
    </row>
    <row r="24" spans="2:7" x14ac:dyDescent="0.35">
      <c r="B24" s="10" t="s">
        <v>62</v>
      </c>
      <c r="C24" s="10"/>
      <c r="D24" s="10"/>
      <c r="E24" s="10"/>
      <c r="F24" s="10"/>
      <c r="G24" s="190">
        <v>100</v>
      </c>
    </row>
    <row r="25" spans="2:7" ht="13.15" x14ac:dyDescent="0.4">
      <c r="B25" s="42" t="s">
        <v>65</v>
      </c>
      <c r="C25" s="42"/>
      <c r="D25" s="42"/>
      <c r="E25" s="42"/>
      <c r="F25" s="42"/>
      <c r="G25" s="74">
        <f>+SUM(G22,G24:G24)</f>
        <v>202</v>
      </c>
    </row>
    <row r="26" spans="2:7" x14ac:dyDescent="0.35">
      <c r="B26" s="10"/>
      <c r="C26" s="10"/>
      <c r="D26" s="10"/>
      <c r="E26" s="10"/>
      <c r="F26" s="10"/>
      <c r="G26" s="10"/>
    </row>
    <row r="27" spans="2:7" ht="13.15" x14ac:dyDescent="0.4">
      <c r="B27" s="42" t="s">
        <v>66</v>
      </c>
      <c r="C27" s="42"/>
      <c r="D27" s="42"/>
      <c r="E27" s="42"/>
      <c r="F27" s="42"/>
      <c r="G27" s="81">
        <v>115</v>
      </c>
    </row>
    <row r="28" spans="2:7" x14ac:dyDescent="0.35">
      <c r="B28" s="15"/>
      <c r="C28" s="15"/>
      <c r="D28" s="15"/>
      <c r="E28" s="15"/>
      <c r="F28" s="15"/>
      <c r="G28" s="15"/>
    </row>
    <row r="29" spans="2:7" ht="13.15" x14ac:dyDescent="0.4">
      <c r="B29" s="90" t="s">
        <v>67</v>
      </c>
      <c r="C29" s="90"/>
      <c r="D29" s="90"/>
      <c r="E29" s="90"/>
      <c r="F29" s="90"/>
      <c r="G29" s="91">
        <f>+SUM(G25,G27)</f>
        <v>317</v>
      </c>
    </row>
    <row r="31" spans="2:7" ht="13.15" x14ac:dyDescent="0.4">
      <c r="B31" s="19" t="s">
        <v>69</v>
      </c>
      <c r="C31" s="19"/>
      <c r="D31" s="19"/>
      <c r="E31" s="19"/>
      <c r="F31" s="19"/>
      <c r="G31" s="20">
        <v>2020</v>
      </c>
    </row>
    <row r="32" spans="2:7" x14ac:dyDescent="0.35">
      <c r="B32" s="15"/>
      <c r="C32" s="15"/>
      <c r="D32" s="15"/>
      <c r="E32" s="15"/>
      <c r="G32" s="15"/>
    </row>
    <row r="33" spans="2:7" ht="13.15" x14ac:dyDescent="0.4">
      <c r="B33" s="42" t="s">
        <v>70</v>
      </c>
      <c r="C33" s="42"/>
      <c r="D33" s="42"/>
      <c r="E33" s="42"/>
      <c r="G33" s="81">
        <v>715</v>
      </c>
    </row>
    <row r="34" spans="2:7" x14ac:dyDescent="0.35">
      <c r="B34" s="10" t="s">
        <v>146</v>
      </c>
      <c r="C34" s="10"/>
      <c r="D34" s="10"/>
      <c r="E34" s="10"/>
      <c r="F34" s="191"/>
      <c r="G34" s="82">
        <v>-490</v>
      </c>
    </row>
    <row r="35" spans="2:7" ht="13.15" x14ac:dyDescent="0.4">
      <c r="B35" s="42" t="s">
        <v>71</v>
      </c>
      <c r="C35" s="42"/>
      <c r="D35" s="42"/>
      <c r="E35" s="42"/>
      <c r="G35" s="74">
        <f>SUM(G33:G34)</f>
        <v>225</v>
      </c>
    </row>
    <row r="36" spans="2:7" x14ac:dyDescent="0.35">
      <c r="B36" s="15" t="s">
        <v>72</v>
      </c>
      <c r="C36" s="15"/>
      <c r="D36" s="15"/>
      <c r="E36" s="15"/>
      <c r="G36" s="83">
        <v>-150</v>
      </c>
    </row>
    <row r="37" spans="2:7" x14ac:dyDescent="0.35">
      <c r="B37" s="10" t="s">
        <v>73</v>
      </c>
      <c r="C37" s="10"/>
      <c r="D37" s="10"/>
      <c r="E37" s="10"/>
      <c r="F37" s="191"/>
      <c r="G37" s="82">
        <v>-25</v>
      </c>
    </row>
    <row r="38" spans="2:7" ht="13.15" x14ac:dyDescent="0.4">
      <c r="B38" s="42" t="s">
        <v>74</v>
      </c>
      <c r="C38" s="42"/>
      <c r="D38" s="42"/>
      <c r="E38" s="42"/>
      <c r="G38" s="74">
        <f>SUM(G35:G37)</f>
        <v>50</v>
      </c>
    </row>
    <row r="39" spans="2:7" x14ac:dyDescent="0.35">
      <c r="B39" s="10" t="s">
        <v>75</v>
      </c>
      <c r="C39" s="10"/>
      <c r="D39" s="10"/>
      <c r="E39" s="10"/>
      <c r="F39" s="191"/>
      <c r="G39" s="82">
        <v>-10</v>
      </c>
    </row>
    <row r="40" spans="2:7" ht="13.15" x14ac:dyDescent="0.4">
      <c r="B40" s="42" t="s">
        <v>76</v>
      </c>
      <c r="C40" s="42"/>
      <c r="D40" s="42"/>
      <c r="E40" s="42"/>
      <c r="G40" s="74">
        <f>SUM(G38:G39)</f>
        <v>40</v>
      </c>
    </row>
    <row r="41" spans="2:7" x14ac:dyDescent="0.35">
      <c r="B41" s="10" t="s">
        <v>77</v>
      </c>
      <c r="C41" s="10"/>
      <c r="D41" s="10"/>
      <c r="E41" s="10"/>
      <c r="F41" s="191"/>
      <c r="G41" s="82">
        <v>-5</v>
      </c>
    </row>
    <row r="42" spans="2:7" ht="13.15" x14ac:dyDescent="0.4">
      <c r="B42" s="42" t="s">
        <v>79</v>
      </c>
      <c r="C42" s="42"/>
      <c r="D42" s="42"/>
      <c r="E42" s="42"/>
      <c r="G42" s="74">
        <f>+SUM(G40:G41)</f>
        <v>35</v>
      </c>
    </row>
    <row r="43" spans="2:7" x14ac:dyDescent="0.35">
      <c r="B43" s="10" t="s">
        <v>80</v>
      </c>
      <c r="C43" s="10"/>
      <c r="D43" s="10"/>
      <c r="E43" s="10"/>
      <c r="F43" s="191"/>
      <c r="G43" s="82">
        <v>-10</v>
      </c>
    </row>
    <row r="44" spans="2:7" ht="13.15" x14ac:dyDescent="0.4">
      <c r="B44" s="42" t="s">
        <v>81</v>
      </c>
      <c r="C44" s="42"/>
      <c r="D44" s="42"/>
      <c r="E44" s="42"/>
      <c r="G44" s="74">
        <f>+SUM(G42:G43)</f>
        <v>25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7D672-1417-4988-B808-6966BA4FAD27}">
  <dimension ref="A3:L316"/>
  <sheetViews>
    <sheetView showGridLines="0" zoomScaleNormal="100" workbookViewId="0"/>
  </sheetViews>
  <sheetFormatPr defaultColWidth="9.06640625" defaultRowHeight="12.75" x14ac:dyDescent="0.35"/>
  <cols>
    <col min="1" max="1" width="1.53125" style="15" bestFit="1" customWidth="1"/>
    <col min="2" max="2" width="10.06640625" style="15" customWidth="1"/>
    <col min="3" max="12" width="9.1328125" style="15" customWidth="1"/>
    <col min="13" max="16384" width="9.06640625" style="15"/>
  </cols>
  <sheetData>
    <row r="3" spans="2:11" ht="13.15" x14ac:dyDescent="0.4">
      <c r="B3" s="9" t="s">
        <v>0</v>
      </c>
      <c r="C3" s="9"/>
      <c r="D3" s="9"/>
      <c r="E3" s="9"/>
      <c r="F3" s="9"/>
      <c r="G3" s="9"/>
      <c r="H3" s="9"/>
      <c r="I3" s="9"/>
      <c r="J3" s="9"/>
      <c r="K3" s="9"/>
    </row>
    <row r="4" spans="2:11" x14ac:dyDescent="0.35">
      <c r="B4" s="37" t="s">
        <v>189</v>
      </c>
      <c r="C4" s="37"/>
      <c r="D4" s="37"/>
      <c r="E4" s="37"/>
    </row>
    <row r="5" spans="2:11" ht="13.15" x14ac:dyDescent="0.4">
      <c r="B5" s="34" t="s">
        <v>1</v>
      </c>
      <c r="C5" s="34"/>
      <c r="D5" s="34"/>
      <c r="E5" s="34"/>
      <c r="F5" s="27"/>
      <c r="G5" s="27"/>
      <c r="H5" s="27"/>
      <c r="I5" s="27"/>
      <c r="J5" s="27"/>
      <c r="K5" s="27"/>
    </row>
    <row r="7" spans="2:11" ht="13.15" x14ac:dyDescent="0.4">
      <c r="B7" s="19" t="s">
        <v>2</v>
      </c>
      <c r="C7" s="19"/>
      <c r="D7" s="19"/>
      <c r="E7" s="19"/>
      <c r="G7" s="19" t="s">
        <v>6</v>
      </c>
      <c r="H7" s="19"/>
      <c r="I7" s="19"/>
      <c r="J7" s="19"/>
      <c r="K7" s="19"/>
    </row>
    <row r="8" spans="2:11" x14ac:dyDescent="0.35">
      <c r="B8" s="15" t="s">
        <v>3</v>
      </c>
      <c r="E8" s="136"/>
      <c r="G8" s="15" t="s">
        <v>7</v>
      </c>
      <c r="K8" s="139"/>
    </row>
    <row r="9" spans="2:11" x14ac:dyDescent="0.35">
      <c r="B9" s="10" t="s">
        <v>4</v>
      </c>
      <c r="C9" s="10"/>
      <c r="D9" s="10"/>
      <c r="E9" s="137"/>
      <c r="G9" s="15" t="s">
        <v>9</v>
      </c>
      <c r="K9" s="140"/>
    </row>
    <row r="10" spans="2:11" ht="13.15" x14ac:dyDescent="0.4">
      <c r="B10" s="42" t="s">
        <v>5</v>
      </c>
      <c r="C10" s="42"/>
      <c r="D10" s="42"/>
      <c r="E10" s="138"/>
      <c r="G10" s="15" t="s">
        <v>33</v>
      </c>
      <c r="K10" s="141"/>
    </row>
    <row r="11" spans="2:11" x14ac:dyDescent="0.35">
      <c r="G11" s="15" t="s">
        <v>166</v>
      </c>
      <c r="K11" s="142"/>
    </row>
    <row r="12" spans="2:11" x14ac:dyDescent="0.35">
      <c r="G12" s="15" t="s">
        <v>10</v>
      </c>
      <c r="K12" s="143"/>
    </row>
    <row r="14" spans="2:11" x14ac:dyDescent="0.35">
      <c r="G14" s="15" t="s">
        <v>184</v>
      </c>
      <c r="K14" s="2">
        <v>1</v>
      </c>
    </row>
    <row r="16" spans="2:11" ht="13.15" x14ac:dyDescent="0.4">
      <c r="B16" s="19" t="s">
        <v>11</v>
      </c>
      <c r="C16" s="19"/>
      <c r="D16" s="19"/>
      <c r="E16" s="19"/>
      <c r="F16" s="71"/>
      <c r="G16" s="71"/>
      <c r="H16" s="71"/>
      <c r="I16" s="71"/>
      <c r="J16" s="71"/>
      <c r="K16" s="71"/>
    </row>
    <row r="17" spans="2:11" ht="13.15" x14ac:dyDescent="0.4">
      <c r="B17" s="16" t="s">
        <v>12</v>
      </c>
      <c r="C17" s="16"/>
      <c r="E17" s="17" t="s">
        <v>13</v>
      </c>
      <c r="F17" s="17" t="s">
        <v>14</v>
      </c>
      <c r="G17" s="17" t="s">
        <v>15</v>
      </c>
      <c r="H17" s="17" t="s">
        <v>16</v>
      </c>
      <c r="I17" s="25" t="s">
        <v>17</v>
      </c>
      <c r="J17" s="17" t="s">
        <v>21</v>
      </c>
      <c r="K17" s="17" t="s">
        <v>22</v>
      </c>
    </row>
    <row r="18" spans="2:11" x14ac:dyDescent="0.35">
      <c r="B18" s="15" t="s">
        <v>18</v>
      </c>
      <c r="E18" s="144"/>
      <c r="F18" s="145"/>
      <c r="G18" s="146"/>
      <c r="H18" s="141"/>
      <c r="I18" s="141"/>
      <c r="J18" s="147"/>
      <c r="K18" s="145"/>
    </row>
    <row r="19" spans="2:11" x14ac:dyDescent="0.35">
      <c r="B19" s="15" t="s">
        <v>160</v>
      </c>
      <c r="E19" s="144"/>
      <c r="F19" s="145"/>
      <c r="G19" s="146"/>
      <c r="H19" s="141"/>
      <c r="I19" s="141"/>
      <c r="J19" s="147"/>
      <c r="K19" s="145"/>
    </row>
    <row r="20" spans="2:11" x14ac:dyDescent="0.35">
      <c r="B20" s="15" t="s">
        <v>19</v>
      </c>
      <c r="E20" s="144"/>
      <c r="F20" s="145"/>
      <c r="G20" s="141"/>
      <c r="H20" s="141"/>
      <c r="I20" s="141"/>
      <c r="J20" s="147"/>
      <c r="K20" s="145"/>
    </row>
    <row r="21" spans="2:11" x14ac:dyDescent="0.35">
      <c r="B21" s="10" t="s">
        <v>28</v>
      </c>
      <c r="C21" s="10"/>
      <c r="D21" s="10"/>
      <c r="E21" s="137"/>
      <c r="F21" s="148"/>
      <c r="G21" s="149"/>
      <c r="H21" s="149"/>
      <c r="I21" s="149"/>
      <c r="J21" s="150"/>
      <c r="K21" s="148"/>
    </row>
    <row r="22" spans="2:11" ht="13.15" x14ac:dyDescent="0.4">
      <c r="B22" s="42" t="s">
        <v>20</v>
      </c>
      <c r="C22" s="42"/>
      <c r="E22" s="152"/>
      <c r="F22" s="151"/>
      <c r="G22" s="50"/>
      <c r="H22" s="50"/>
      <c r="J22" s="42"/>
      <c r="K22" s="138"/>
    </row>
    <row r="24" spans="2:11" ht="13.15" x14ac:dyDescent="0.4">
      <c r="B24" s="34" t="s">
        <v>23</v>
      </c>
      <c r="C24" s="34"/>
      <c r="D24" s="34"/>
      <c r="E24" s="34"/>
      <c r="F24" s="34"/>
      <c r="G24" s="34"/>
      <c r="H24" s="34"/>
      <c r="I24" s="34"/>
      <c r="J24" s="34"/>
      <c r="K24" s="34"/>
    </row>
    <row r="26" spans="2:11" ht="13.15" x14ac:dyDescent="0.4">
      <c r="B26" s="19" t="s">
        <v>24</v>
      </c>
      <c r="C26" s="19"/>
      <c r="D26" s="19"/>
      <c r="E26" s="19"/>
      <c r="F26" s="19"/>
      <c r="G26" s="19"/>
      <c r="H26" s="19"/>
      <c r="I26" s="19"/>
      <c r="J26" s="19"/>
      <c r="K26" s="19"/>
    </row>
    <row r="27" spans="2:11" ht="13.15" x14ac:dyDescent="0.4">
      <c r="B27" s="16" t="s">
        <v>27</v>
      </c>
      <c r="C27" s="16"/>
      <c r="D27" s="16"/>
      <c r="E27" s="16"/>
      <c r="F27" s="17" t="s">
        <v>14</v>
      </c>
      <c r="H27" s="18" t="s">
        <v>25</v>
      </c>
      <c r="I27" s="51"/>
      <c r="J27" s="51"/>
      <c r="K27" s="17" t="s">
        <v>14</v>
      </c>
    </row>
    <row r="28" spans="2:11" x14ac:dyDescent="0.35">
      <c r="B28" s="15" t="s">
        <v>18</v>
      </c>
      <c r="F28" s="136"/>
      <c r="H28" s="15" t="s">
        <v>5</v>
      </c>
      <c r="K28" s="136"/>
    </row>
    <row r="29" spans="2:11" x14ac:dyDescent="0.35">
      <c r="B29" s="15" t="s">
        <v>160</v>
      </c>
      <c r="F29" s="145"/>
      <c r="H29" s="15" t="s">
        <v>9</v>
      </c>
      <c r="K29" s="145"/>
    </row>
    <row r="30" spans="2:11" x14ac:dyDescent="0.35">
      <c r="B30" s="15" t="s">
        <v>19</v>
      </c>
      <c r="F30" s="145"/>
      <c r="H30" s="15" t="s">
        <v>7</v>
      </c>
      <c r="K30" s="145"/>
    </row>
    <row r="31" spans="2:11" x14ac:dyDescent="0.35">
      <c r="B31" s="10" t="s">
        <v>28</v>
      </c>
      <c r="C31" s="10"/>
      <c r="D31" s="10"/>
      <c r="E31" s="10"/>
      <c r="F31" s="148"/>
      <c r="H31" s="10" t="s">
        <v>8</v>
      </c>
      <c r="I31" s="10"/>
      <c r="J31" s="10"/>
      <c r="K31" s="148"/>
    </row>
    <row r="32" spans="2:11" ht="13.15" x14ac:dyDescent="0.4">
      <c r="B32" s="42" t="s">
        <v>20</v>
      </c>
      <c r="C32" s="42"/>
      <c r="D32" s="42"/>
      <c r="E32" s="42"/>
      <c r="F32" s="138"/>
      <c r="H32" s="126" t="s">
        <v>26</v>
      </c>
      <c r="I32" s="127"/>
      <c r="J32" s="127"/>
      <c r="K32" s="153"/>
    </row>
    <row r="33" spans="2:11" x14ac:dyDescent="0.35">
      <c r="B33" s="15" t="s">
        <v>29</v>
      </c>
      <c r="F33" s="145"/>
    </row>
    <row r="34" spans="2:11" x14ac:dyDescent="0.35">
      <c r="B34" s="10" t="s">
        <v>30</v>
      </c>
      <c r="C34" s="10"/>
      <c r="D34" s="10"/>
      <c r="E34" s="10"/>
      <c r="F34" s="148"/>
    </row>
    <row r="35" spans="2:11" ht="13.15" x14ac:dyDescent="0.4">
      <c r="B35" s="42" t="s">
        <v>34</v>
      </c>
      <c r="C35" s="42"/>
      <c r="D35" s="42"/>
      <c r="E35" s="42"/>
      <c r="F35" s="138"/>
    </row>
    <row r="36" spans="2:11" x14ac:dyDescent="0.35">
      <c r="B36" s="10"/>
      <c r="C36" s="10"/>
      <c r="D36" s="10"/>
      <c r="E36" s="10"/>
      <c r="F36" s="10"/>
    </row>
    <row r="37" spans="2:11" ht="13.15" x14ac:dyDescent="0.4">
      <c r="B37" s="126" t="s">
        <v>31</v>
      </c>
      <c r="C37" s="129"/>
      <c r="D37" s="129"/>
      <c r="E37" s="129"/>
      <c r="F37" s="153"/>
      <c r="H37" s="37" t="s">
        <v>32</v>
      </c>
      <c r="K37" s="154"/>
    </row>
    <row r="39" spans="2:11" ht="13.15" x14ac:dyDescent="0.4">
      <c r="B39" s="34" t="s">
        <v>170</v>
      </c>
      <c r="C39" s="34"/>
      <c r="D39" s="34"/>
      <c r="E39" s="34"/>
      <c r="F39" s="34"/>
      <c r="G39" s="34"/>
      <c r="H39" s="34"/>
      <c r="I39" s="34"/>
      <c r="J39" s="34"/>
      <c r="K39" s="34"/>
    </row>
    <row r="41" spans="2:11" ht="13.15" x14ac:dyDescent="0.4">
      <c r="B41" s="19" t="s">
        <v>35</v>
      </c>
      <c r="C41" s="19"/>
      <c r="D41" s="19"/>
      <c r="E41" s="19"/>
      <c r="H41" s="19" t="s">
        <v>42</v>
      </c>
      <c r="I41" s="19"/>
      <c r="J41" s="19"/>
      <c r="K41" s="19"/>
    </row>
    <row r="42" spans="2:11" x14ac:dyDescent="0.35">
      <c r="B42" s="43" t="s">
        <v>5</v>
      </c>
      <c r="C42" s="43"/>
      <c r="D42" s="43"/>
      <c r="E42" s="136"/>
      <c r="H42" s="43" t="s">
        <v>174</v>
      </c>
      <c r="J42" s="43"/>
      <c r="K42" s="155"/>
    </row>
    <row r="43" spans="2:11" x14ac:dyDescent="0.35">
      <c r="B43" s="15" t="s">
        <v>36</v>
      </c>
      <c r="E43" s="145"/>
      <c r="H43" s="43" t="s">
        <v>46</v>
      </c>
      <c r="J43" s="43"/>
      <c r="K43" s="156"/>
    </row>
    <row r="44" spans="2:11" x14ac:dyDescent="0.35">
      <c r="B44" s="11" t="s">
        <v>37</v>
      </c>
      <c r="C44" s="11"/>
      <c r="D44" s="11"/>
      <c r="E44" s="148"/>
      <c r="H44" s="43" t="s">
        <v>192</v>
      </c>
      <c r="J44" s="43"/>
      <c r="K44" s="157"/>
    </row>
    <row r="45" spans="2:11" ht="13.15" x14ac:dyDescent="0.4">
      <c r="B45" s="56" t="s">
        <v>38</v>
      </c>
      <c r="C45" s="56"/>
      <c r="D45" s="56"/>
      <c r="E45" s="138"/>
      <c r="H45" s="43" t="s">
        <v>43</v>
      </c>
      <c r="K45" s="157"/>
    </row>
    <row r="46" spans="2:11" x14ac:dyDescent="0.35">
      <c r="B46" s="43" t="s">
        <v>39</v>
      </c>
      <c r="C46" s="43"/>
      <c r="D46" s="43"/>
      <c r="E46" s="145"/>
      <c r="H46" s="130" t="s">
        <v>185</v>
      </c>
      <c r="K46" s="158"/>
    </row>
    <row r="47" spans="2:11" x14ac:dyDescent="0.35">
      <c r="B47" s="11" t="s">
        <v>40</v>
      </c>
      <c r="C47" s="11"/>
      <c r="D47" s="11"/>
      <c r="E47" s="148"/>
    </row>
    <row r="48" spans="2:11" ht="13.15" x14ac:dyDescent="0.4">
      <c r="B48" s="56" t="s">
        <v>173</v>
      </c>
      <c r="C48" s="56"/>
      <c r="D48" s="56"/>
      <c r="E48" s="138"/>
      <c r="H48" s="19" t="s">
        <v>44</v>
      </c>
      <c r="I48" s="19"/>
      <c r="J48" s="19"/>
      <c r="K48" s="19"/>
    </row>
    <row r="49" spans="1:11" x14ac:dyDescent="0.35">
      <c r="B49" s="43" t="s">
        <v>194</v>
      </c>
      <c r="C49" s="43"/>
      <c r="D49" s="43"/>
      <c r="E49" s="145"/>
      <c r="H49" s="43" t="s">
        <v>45</v>
      </c>
      <c r="K49" s="155"/>
    </row>
    <row r="50" spans="1:11" x14ac:dyDescent="0.35">
      <c r="B50" s="43" t="s">
        <v>195</v>
      </c>
      <c r="C50" s="43"/>
      <c r="D50" s="43"/>
      <c r="E50" s="145"/>
      <c r="H50" s="43" t="s">
        <v>46</v>
      </c>
      <c r="K50" s="156"/>
    </row>
    <row r="51" spans="1:11" x14ac:dyDescent="0.35">
      <c r="B51" s="11" t="s">
        <v>41</v>
      </c>
      <c r="C51" s="11"/>
      <c r="D51" s="11"/>
      <c r="E51" s="148"/>
      <c r="H51" s="43" t="s">
        <v>193</v>
      </c>
      <c r="K51" s="157"/>
    </row>
    <row r="52" spans="1:11" ht="13.15" x14ac:dyDescent="0.4">
      <c r="B52" s="56" t="s">
        <v>186</v>
      </c>
      <c r="C52" s="56"/>
      <c r="D52" s="56"/>
      <c r="E52" s="138"/>
      <c r="H52" s="43" t="s">
        <v>43</v>
      </c>
      <c r="K52" s="157"/>
    </row>
    <row r="53" spans="1:11" ht="13.15" x14ac:dyDescent="0.4">
      <c r="B53" s="56"/>
      <c r="C53" s="56"/>
      <c r="D53" s="56"/>
      <c r="E53" s="74"/>
      <c r="H53" s="130" t="s">
        <v>185</v>
      </c>
      <c r="K53" s="158"/>
    </row>
    <row r="54" spans="1:11" ht="13.15" x14ac:dyDescent="0.4">
      <c r="B54" s="56"/>
      <c r="C54" s="56"/>
      <c r="D54" s="56"/>
      <c r="E54" s="74"/>
    </row>
    <row r="55" spans="1:11" ht="13.15" x14ac:dyDescent="0.4">
      <c r="B55" s="34" t="s">
        <v>171</v>
      </c>
      <c r="C55" s="34"/>
      <c r="D55" s="34"/>
      <c r="E55" s="34"/>
      <c r="F55" s="34"/>
      <c r="G55" s="34"/>
      <c r="H55" s="34"/>
      <c r="I55" s="34"/>
      <c r="J55" s="34"/>
      <c r="K55" s="34"/>
    </row>
    <row r="57" spans="1:11" ht="13.15" x14ac:dyDescent="0.4">
      <c r="B57" s="19" t="s">
        <v>187</v>
      </c>
      <c r="C57" s="19"/>
      <c r="D57" s="19"/>
      <c r="E57" s="19"/>
      <c r="F57" s="19"/>
      <c r="G57" s="19"/>
      <c r="H57" s="20">
        <v>2020</v>
      </c>
      <c r="I57" s="21" t="s">
        <v>47</v>
      </c>
      <c r="J57" s="22"/>
      <c r="K57" s="23">
        <v>2020</v>
      </c>
    </row>
    <row r="58" spans="1:11" ht="13.15" x14ac:dyDescent="0.4">
      <c r="I58" s="57" t="s">
        <v>48</v>
      </c>
      <c r="J58" s="57" t="s">
        <v>49</v>
      </c>
    </row>
    <row r="59" spans="1:11" x14ac:dyDescent="0.35">
      <c r="I59" s="58"/>
      <c r="J59" s="58"/>
    </row>
    <row r="60" spans="1:11" x14ac:dyDescent="0.35">
      <c r="B60" s="15" t="s">
        <v>50</v>
      </c>
      <c r="H60" s="139"/>
      <c r="I60" s="160"/>
      <c r="J60" s="160"/>
      <c r="K60" s="136"/>
    </row>
    <row r="61" spans="1:11" x14ac:dyDescent="0.35">
      <c r="B61" s="15" t="s">
        <v>51</v>
      </c>
      <c r="H61" s="140"/>
      <c r="I61" s="59"/>
      <c r="J61" s="59"/>
      <c r="K61" s="145"/>
    </row>
    <row r="62" spans="1:11" x14ac:dyDescent="0.35">
      <c r="B62" s="15" t="s">
        <v>52</v>
      </c>
      <c r="H62" s="140"/>
      <c r="I62" s="59"/>
      <c r="J62" s="59"/>
      <c r="K62" s="145"/>
    </row>
    <row r="63" spans="1:11" x14ac:dyDescent="0.35">
      <c r="B63" s="10" t="s">
        <v>53</v>
      </c>
      <c r="C63" s="10"/>
      <c r="D63" s="10"/>
      <c r="E63" s="10"/>
      <c r="F63" s="10"/>
      <c r="G63" s="10"/>
      <c r="H63" s="159"/>
      <c r="I63" s="12"/>
      <c r="J63" s="12"/>
      <c r="K63" s="148"/>
    </row>
    <row r="64" spans="1:11" s="42" customFormat="1" ht="13.15" x14ac:dyDescent="0.4">
      <c r="A64" s="15"/>
      <c r="B64" s="42" t="s">
        <v>54</v>
      </c>
      <c r="H64" s="138"/>
      <c r="I64" s="60"/>
      <c r="J64" s="60"/>
      <c r="K64" s="138"/>
    </row>
    <row r="65" spans="1:11" x14ac:dyDescent="0.35">
      <c r="I65" s="59"/>
      <c r="J65" s="59"/>
    </row>
    <row r="66" spans="1:11" x14ac:dyDescent="0.35">
      <c r="B66" s="15" t="s">
        <v>55</v>
      </c>
      <c r="H66" s="139"/>
      <c r="I66" s="160"/>
      <c r="J66" s="59"/>
      <c r="K66" s="136"/>
    </row>
    <row r="67" spans="1:11" x14ac:dyDescent="0.35">
      <c r="B67" s="15" t="s">
        <v>56</v>
      </c>
      <c r="H67" s="140"/>
      <c r="I67" s="160"/>
      <c r="J67" s="160"/>
      <c r="K67" s="145"/>
    </row>
    <row r="68" spans="1:11" x14ac:dyDescent="0.35">
      <c r="B68" s="15" t="s">
        <v>57</v>
      </c>
      <c r="H68" s="140"/>
      <c r="I68" s="160"/>
      <c r="J68" s="59"/>
      <c r="K68" s="145"/>
    </row>
    <row r="69" spans="1:11" s="42" customFormat="1" ht="13.15" x14ac:dyDescent="0.4">
      <c r="A69" s="15"/>
      <c r="B69" s="90" t="s">
        <v>58</v>
      </c>
      <c r="C69" s="90"/>
      <c r="D69" s="90"/>
      <c r="E69" s="90"/>
      <c r="F69" s="90"/>
      <c r="G69" s="90"/>
      <c r="H69" s="161"/>
      <c r="I69" s="94"/>
      <c r="J69" s="94"/>
      <c r="K69" s="161"/>
    </row>
    <row r="70" spans="1:11" x14ac:dyDescent="0.35">
      <c r="I70" s="59"/>
      <c r="J70" s="59"/>
    </row>
    <row r="71" spans="1:11" x14ac:dyDescent="0.35">
      <c r="B71" s="15" t="s">
        <v>18</v>
      </c>
      <c r="H71" s="139"/>
      <c r="I71" s="59"/>
      <c r="J71" s="59"/>
      <c r="K71" s="136"/>
    </row>
    <row r="72" spans="1:11" x14ac:dyDescent="0.35">
      <c r="B72" s="15" t="s">
        <v>59</v>
      </c>
      <c r="H72" s="140"/>
      <c r="I72" s="59"/>
      <c r="J72" s="59"/>
      <c r="K72" s="145"/>
    </row>
    <row r="73" spans="1:11" x14ac:dyDescent="0.35">
      <c r="B73" s="15" t="s">
        <v>60</v>
      </c>
      <c r="H73" s="140"/>
      <c r="I73" s="59"/>
      <c r="J73" s="59"/>
      <c r="K73" s="145"/>
    </row>
    <row r="74" spans="1:11" x14ac:dyDescent="0.35">
      <c r="B74" s="10" t="s">
        <v>133</v>
      </c>
      <c r="C74" s="10"/>
      <c r="D74" s="10"/>
      <c r="E74" s="10"/>
      <c r="F74" s="10"/>
      <c r="G74" s="10"/>
      <c r="H74" s="159"/>
      <c r="I74" s="12"/>
      <c r="J74" s="12"/>
      <c r="K74" s="148"/>
    </row>
    <row r="75" spans="1:11" s="42" customFormat="1" ht="13.15" x14ac:dyDescent="0.4">
      <c r="A75" s="15"/>
      <c r="B75" s="42" t="s">
        <v>61</v>
      </c>
      <c r="H75" s="138"/>
      <c r="I75" s="60"/>
      <c r="J75" s="60"/>
      <c r="K75" s="138"/>
    </row>
    <row r="76" spans="1:11" x14ac:dyDescent="0.35">
      <c r="I76" s="59"/>
      <c r="J76" s="59"/>
    </row>
    <row r="77" spans="1:11" x14ac:dyDescent="0.35">
      <c r="B77" s="15" t="s">
        <v>62</v>
      </c>
      <c r="H77" s="139"/>
      <c r="I77" s="160"/>
      <c r="J77" s="59"/>
      <c r="K77" s="136"/>
    </row>
    <row r="78" spans="1:11" x14ac:dyDescent="0.35">
      <c r="B78" s="15" t="s">
        <v>160</v>
      </c>
      <c r="H78" s="140"/>
      <c r="I78" s="59"/>
      <c r="J78" s="160"/>
      <c r="K78" s="145"/>
    </row>
    <row r="79" spans="1:11" x14ac:dyDescent="0.35">
      <c r="B79" s="15" t="s">
        <v>19</v>
      </c>
      <c r="H79" s="140"/>
      <c r="I79" s="59"/>
      <c r="J79" s="160"/>
      <c r="K79" s="145"/>
    </row>
    <row r="80" spans="1:11" x14ac:dyDescent="0.35">
      <c r="B80" s="15" t="s">
        <v>28</v>
      </c>
      <c r="H80" s="140"/>
      <c r="I80" s="59"/>
      <c r="J80" s="160"/>
      <c r="K80" s="145"/>
    </row>
    <row r="81" spans="1:11" x14ac:dyDescent="0.35">
      <c r="B81" s="15" t="s">
        <v>63</v>
      </c>
      <c r="H81" s="140"/>
      <c r="I81" s="160"/>
      <c r="J81" s="59"/>
      <c r="K81" s="145"/>
    </row>
    <row r="82" spans="1:11" x14ac:dyDescent="0.35">
      <c r="B82" s="10" t="s">
        <v>64</v>
      </c>
      <c r="C82" s="10"/>
      <c r="D82" s="10"/>
      <c r="E82" s="10"/>
      <c r="F82" s="10"/>
      <c r="G82" s="10"/>
      <c r="H82" s="159"/>
      <c r="I82" s="12"/>
      <c r="J82" s="162"/>
      <c r="K82" s="148"/>
    </row>
    <row r="83" spans="1:11" s="42" customFormat="1" ht="13.15" x14ac:dyDescent="0.4">
      <c r="A83" s="15"/>
      <c r="B83" s="42" t="s">
        <v>65</v>
      </c>
      <c r="H83" s="138"/>
      <c r="I83" s="60"/>
      <c r="J83" s="60"/>
      <c r="K83" s="138"/>
    </row>
    <row r="84" spans="1:11" x14ac:dyDescent="0.35">
      <c r="B84" s="10"/>
      <c r="C84" s="10"/>
      <c r="D84" s="10"/>
      <c r="E84" s="10"/>
      <c r="F84" s="10"/>
      <c r="G84" s="10"/>
      <c r="H84" s="10"/>
      <c r="I84" s="12"/>
      <c r="J84" s="12"/>
      <c r="K84" s="10"/>
    </row>
    <row r="85" spans="1:11" s="42" customFormat="1" ht="13.15" x14ac:dyDescent="0.4">
      <c r="A85" s="15"/>
      <c r="B85" s="42" t="s">
        <v>66</v>
      </c>
      <c r="H85" s="163"/>
      <c r="I85" s="164"/>
      <c r="J85" s="164"/>
      <c r="K85" s="138"/>
    </row>
    <row r="86" spans="1:11" x14ac:dyDescent="0.35">
      <c r="I86" s="59"/>
      <c r="J86" s="59"/>
    </row>
    <row r="87" spans="1:11" ht="13.15" x14ac:dyDescent="0.4">
      <c r="B87" s="90" t="s">
        <v>67</v>
      </c>
      <c r="C87" s="90"/>
      <c r="D87" s="90"/>
      <c r="E87" s="90"/>
      <c r="F87" s="90"/>
      <c r="G87" s="90"/>
      <c r="H87" s="161"/>
      <c r="I87" s="94"/>
      <c r="J87" s="94"/>
      <c r="K87" s="161"/>
    </row>
    <row r="89" spans="1:11" s="37" customFormat="1" x14ac:dyDescent="0.35">
      <c r="B89" s="37" t="s">
        <v>68</v>
      </c>
      <c r="H89" s="165"/>
      <c r="I89" s="80"/>
      <c r="J89" s="80"/>
      <c r="K89" s="165"/>
    </row>
    <row r="91" spans="1:11" ht="13.15" x14ac:dyDescent="0.4">
      <c r="B91" s="34" t="s">
        <v>148</v>
      </c>
      <c r="C91" s="34"/>
      <c r="D91" s="34"/>
      <c r="E91" s="34"/>
      <c r="F91" s="34"/>
      <c r="G91" s="34"/>
      <c r="H91" s="34"/>
      <c r="I91" s="34"/>
      <c r="J91" s="34"/>
      <c r="K91" s="34"/>
    </row>
    <row r="93" spans="1:11" ht="13.15" x14ac:dyDescent="0.4">
      <c r="B93" s="19" t="s">
        <v>69</v>
      </c>
      <c r="C93" s="19"/>
      <c r="D93" s="19"/>
      <c r="E93" s="19"/>
      <c r="F93" s="20">
        <v>2020</v>
      </c>
      <c r="G93" s="24">
        <f>+F93+1</f>
        <v>2021</v>
      </c>
      <c r="H93" s="24">
        <f>+G93+1</f>
        <v>2022</v>
      </c>
      <c r="I93" s="24">
        <f>+H93+1</f>
        <v>2023</v>
      </c>
      <c r="J93" s="24">
        <f>+I93+1</f>
        <v>2024</v>
      </c>
      <c r="K93" s="24">
        <f>+J93+1</f>
        <v>2025</v>
      </c>
    </row>
    <row r="95" spans="1:11" ht="13.15" x14ac:dyDescent="0.4">
      <c r="B95" s="42" t="s">
        <v>70</v>
      </c>
      <c r="C95" s="42"/>
      <c r="D95" s="42"/>
      <c r="E95" s="42"/>
      <c r="F95" s="163"/>
      <c r="G95" s="138"/>
      <c r="H95" s="138"/>
      <c r="I95" s="138"/>
      <c r="J95" s="138"/>
      <c r="K95" s="138"/>
    </row>
    <row r="96" spans="1:11" x14ac:dyDescent="0.35">
      <c r="B96" s="10" t="s">
        <v>146</v>
      </c>
      <c r="C96" s="10"/>
      <c r="D96" s="10"/>
      <c r="E96" s="10"/>
      <c r="F96" s="159"/>
      <c r="G96" s="148"/>
      <c r="H96" s="148"/>
      <c r="I96" s="148"/>
      <c r="J96" s="148"/>
      <c r="K96" s="148"/>
    </row>
    <row r="97" spans="2:12" ht="13.15" x14ac:dyDescent="0.4">
      <c r="B97" s="42" t="s">
        <v>71</v>
      </c>
      <c r="C97" s="42"/>
      <c r="D97" s="42"/>
      <c r="E97" s="42"/>
      <c r="F97" s="138"/>
      <c r="G97" s="138"/>
      <c r="H97" s="138"/>
      <c r="I97" s="138"/>
      <c r="J97" s="138"/>
      <c r="K97" s="138"/>
    </row>
    <row r="98" spans="2:12" x14ac:dyDescent="0.35">
      <c r="B98" s="15" t="s">
        <v>72</v>
      </c>
      <c r="F98" s="140"/>
      <c r="G98" s="145"/>
      <c r="H98" s="145"/>
      <c r="I98" s="145"/>
      <c r="J98" s="145"/>
      <c r="K98" s="145"/>
    </row>
    <row r="99" spans="2:12" x14ac:dyDescent="0.35">
      <c r="B99" s="15" t="s">
        <v>73</v>
      </c>
      <c r="F99" s="140"/>
      <c r="G99" s="145"/>
      <c r="H99" s="145"/>
      <c r="I99" s="145"/>
      <c r="J99" s="145"/>
      <c r="K99" s="145"/>
    </row>
    <row r="100" spans="2:12" ht="13.15" x14ac:dyDescent="0.4">
      <c r="B100" s="90" t="s">
        <v>74</v>
      </c>
      <c r="C100" s="90"/>
      <c r="D100" s="90"/>
      <c r="E100" s="90"/>
      <c r="F100" s="161"/>
      <c r="G100" s="161"/>
      <c r="H100" s="161"/>
      <c r="I100" s="161"/>
      <c r="J100" s="161"/>
      <c r="K100" s="161"/>
    </row>
    <row r="101" spans="2:12" x14ac:dyDescent="0.35">
      <c r="B101" s="15" t="s">
        <v>75</v>
      </c>
      <c r="F101" s="140"/>
      <c r="G101" s="145"/>
      <c r="H101" s="145"/>
      <c r="I101" s="145"/>
      <c r="J101" s="145"/>
      <c r="K101" s="145"/>
    </row>
    <row r="102" spans="2:12" x14ac:dyDescent="0.35">
      <c r="B102" s="15" t="s">
        <v>176</v>
      </c>
      <c r="F102" s="140"/>
      <c r="G102" s="145"/>
      <c r="H102" s="145"/>
      <c r="I102" s="145"/>
      <c r="J102" s="145"/>
      <c r="K102" s="145"/>
    </row>
    <row r="103" spans="2:12" x14ac:dyDescent="0.35">
      <c r="B103" s="15" t="s">
        <v>175</v>
      </c>
      <c r="F103" s="140"/>
      <c r="G103" s="145"/>
      <c r="H103" s="145"/>
      <c r="I103" s="145"/>
      <c r="J103" s="145"/>
      <c r="K103" s="145"/>
    </row>
    <row r="104" spans="2:12" x14ac:dyDescent="0.35">
      <c r="B104" s="10" t="s">
        <v>159</v>
      </c>
      <c r="C104" s="10"/>
      <c r="D104" s="10"/>
      <c r="E104" s="10"/>
      <c r="F104" s="159"/>
      <c r="G104" s="148"/>
      <c r="H104" s="148"/>
      <c r="I104" s="148"/>
      <c r="J104" s="148"/>
      <c r="K104" s="148"/>
    </row>
    <row r="105" spans="2:12" ht="13.15" x14ac:dyDescent="0.4">
      <c r="B105" s="42" t="s">
        <v>76</v>
      </c>
      <c r="C105" s="42"/>
      <c r="D105" s="42"/>
      <c r="E105" s="42"/>
      <c r="F105" s="138"/>
      <c r="G105" s="138"/>
      <c r="H105" s="138"/>
      <c r="I105" s="138"/>
      <c r="J105" s="138"/>
      <c r="K105" s="138"/>
    </row>
    <row r="106" spans="2:12" x14ac:dyDescent="0.35">
      <c r="B106" s="15" t="s">
        <v>77</v>
      </c>
      <c r="F106" s="140"/>
      <c r="G106" s="145"/>
      <c r="H106" s="145"/>
      <c r="I106" s="145"/>
      <c r="J106" s="145"/>
      <c r="K106" s="145"/>
    </row>
    <row r="107" spans="2:12" x14ac:dyDescent="0.35">
      <c r="B107" s="10" t="s">
        <v>78</v>
      </c>
      <c r="C107" s="10"/>
      <c r="D107" s="10"/>
      <c r="E107" s="10"/>
      <c r="F107" s="159"/>
      <c r="G107" s="148"/>
      <c r="H107" s="148"/>
      <c r="I107" s="148"/>
      <c r="J107" s="148"/>
      <c r="K107" s="148"/>
    </row>
    <row r="108" spans="2:12" ht="13.15" x14ac:dyDescent="0.4">
      <c r="B108" s="42" t="s">
        <v>79</v>
      </c>
      <c r="C108" s="42"/>
      <c r="D108" s="42"/>
      <c r="E108" s="42"/>
      <c r="F108" s="138"/>
      <c r="G108" s="138"/>
      <c r="H108" s="138"/>
      <c r="I108" s="138"/>
      <c r="J108" s="138"/>
      <c r="K108" s="138"/>
    </row>
    <row r="109" spans="2:12" x14ac:dyDescent="0.35">
      <c r="B109" s="15" t="s">
        <v>80</v>
      </c>
      <c r="F109" s="140"/>
      <c r="G109" s="145"/>
      <c r="H109" s="145"/>
      <c r="I109" s="145"/>
      <c r="J109" s="145"/>
      <c r="K109" s="145"/>
    </row>
    <row r="110" spans="2:12" ht="13.15" x14ac:dyDescent="0.4">
      <c r="B110" s="90" t="s">
        <v>81</v>
      </c>
      <c r="C110" s="90"/>
      <c r="D110" s="90"/>
      <c r="E110" s="90"/>
      <c r="F110" s="161"/>
      <c r="G110" s="161"/>
      <c r="H110" s="161"/>
      <c r="I110" s="161"/>
      <c r="J110" s="161"/>
      <c r="K110" s="161"/>
    </row>
    <row r="111" spans="2:12" ht="13.15" x14ac:dyDescent="0.4">
      <c r="B111" s="42"/>
      <c r="C111" s="42"/>
      <c r="D111" s="42"/>
      <c r="E111" s="42"/>
      <c r="F111" s="29"/>
      <c r="G111" s="29"/>
      <c r="H111" s="29"/>
      <c r="I111" s="29"/>
      <c r="J111" s="29"/>
      <c r="K111" s="29"/>
    </row>
    <row r="112" spans="2:12" ht="13.15" x14ac:dyDescent="0.4">
      <c r="B112" s="121" t="s">
        <v>102</v>
      </c>
      <c r="C112" s="121"/>
      <c r="D112" s="121"/>
      <c r="E112" s="121"/>
      <c r="F112" s="121"/>
      <c r="G112" s="123"/>
      <c r="H112" s="123"/>
      <c r="I112" s="123"/>
      <c r="J112" s="123"/>
      <c r="K112" s="123"/>
      <c r="L112" s="85" t="s">
        <v>153</v>
      </c>
    </row>
    <row r="113" spans="1:12" x14ac:dyDescent="0.35">
      <c r="B113" s="15" t="s">
        <v>103</v>
      </c>
      <c r="F113" s="167"/>
      <c r="G113" s="166"/>
      <c r="H113" s="166"/>
      <c r="I113" s="166"/>
      <c r="J113" s="166"/>
      <c r="K113" s="166"/>
      <c r="L113" s="168"/>
    </row>
    <row r="114" spans="1:12" x14ac:dyDescent="0.35">
      <c r="B114" s="15" t="s">
        <v>104</v>
      </c>
      <c r="F114" s="167"/>
      <c r="G114" s="166"/>
      <c r="H114" s="166"/>
      <c r="I114" s="166"/>
      <c r="J114" s="166"/>
      <c r="K114" s="166"/>
      <c r="L114" s="168"/>
    </row>
    <row r="115" spans="1:12" x14ac:dyDescent="0.35">
      <c r="B115" s="15" t="s">
        <v>105</v>
      </c>
      <c r="F115" s="167"/>
      <c r="G115" s="166"/>
      <c r="H115" s="166"/>
      <c r="I115" s="166"/>
      <c r="J115" s="166"/>
      <c r="K115" s="166"/>
      <c r="L115" s="84"/>
    </row>
    <row r="116" spans="1:12" x14ac:dyDescent="0.35">
      <c r="B116" s="15" t="s">
        <v>106</v>
      </c>
      <c r="F116" s="167"/>
      <c r="G116" s="166"/>
      <c r="H116" s="166"/>
      <c r="I116" s="166"/>
      <c r="J116" s="166"/>
      <c r="K116" s="166"/>
      <c r="L116" s="84"/>
    </row>
    <row r="117" spans="1:12" x14ac:dyDescent="0.35">
      <c r="B117" s="15" t="s">
        <v>107</v>
      </c>
      <c r="F117" s="167"/>
      <c r="G117" s="167"/>
      <c r="H117" s="167"/>
      <c r="I117" s="167"/>
      <c r="J117" s="167"/>
      <c r="K117" s="167"/>
      <c r="L117" s="84"/>
    </row>
    <row r="118" spans="1:12" x14ac:dyDescent="0.35">
      <c r="B118" s="15" t="s">
        <v>108</v>
      </c>
      <c r="F118" s="167"/>
      <c r="G118" s="166"/>
      <c r="H118" s="166"/>
      <c r="I118" s="166"/>
      <c r="J118" s="166"/>
      <c r="K118" s="166"/>
      <c r="L118" s="84"/>
    </row>
    <row r="119" spans="1:12" x14ac:dyDescent="0.35">
      <c r="B119" s="52" t="s">
        <v>158</v>
      </c>
      <c r="F119" s="167"/>
      <c r="G119" s="139"/>
      <c r="H119" s="139"/>
      <c r="I119" s="139"/>
      <c r="J119" s="139"/>
      <c r="K119" s="139"/>
      <c r="L119" s="84"/>
    </row>
    <row r="120" spans="1:12" x14ac:dyDescent="0.35">
      <c r="B120" s="52"/>
      <c r="F120" s="39"/>
      <c r="G120" s="72"/>
      <c r="H120" s="72"/>
      <c r="I120" s="72"/>
      <c r="J120" s="72"/>
      <c r="K120" s="72"/>
      <c r="L120" s="84"/>
    </row>
    <row r="121" spans="1:12" ht="13.15" x14ac:dyDescent="0.4">
      <c r="B121" s="34" t="s">
        <v>149</v>
      </c>
      <c r="C121" s="34"/>
      <c r="D121" s="34"/>
      <c r="E121" s="34"/>
      <c r="F121" s="34"/>
      <c r="G121" s="34"/>
      <c r="H121" s="34"/>
      <c r="I121" s="34"/>
      <c r="J121" s="34"/>
      <c r="K121" s="34"/>
      <c r="L121" s="47"/>
    </row>
    <row r="123" spans="1:12" s="42" customFormat="1" ht="13.15" x14ac:dyDescent="0.4">
      <c r="A123" s="15"/>
      <c r="B123" s="19" t="s">
        <v>88</v>
      </c>
      <c r="C123" s="19"/>
      <c r="D123" s="19"/>
      <c r="E123" s="19"/>
      <c r="F123" s="19"/>
      <c r="G123" s="24">
        <v>2021</v>
      </c>
      <c r="H123" s="24">
        <f>+G123+1</f>
        <v>2022</v>
      </c>
      <c r="I123" s="24">
        <f>+H123+1</f>
        <v>2023</v>
      </c>
      <c r="J123" s="24">
        <f>+I123+1</f>
        <v>2024</v>
      </c>
      <c r="K123" s="24">
        <f>+J123+1</f>
        <v>2025</v>
      </c>
    </row>
    <row r="124" spans="1:12" x14ac:dyDescent="0.35">
      <c r="F124" s="38"/>
      <c r="G124" s="36"/>
      <c r="H124" s="36"/>
      <c r="I124" s="36"/>
      <c r="J124" s="36"/>
      <c r="K124" s="36"/>
    </row>
    <row r="125" spans="1:12" s="42" customFormat="1" ht="13.15" x14ac:dyDescent="0.4">
      <c r="A125" s="15"/>
      <c r="B125" s="42" t="s">
        <v>81</v>
      </c>
      <c r="F125" s="40"/>
      <c r="G125" s="138"/>
      <c r="H125" s="138"/>
      <c r="I125" s="138"/>
      <c r="J125" s="138"/>
      <c r="K125" s="138"/>
    </row>
    <row r="126" spans="1:12" x14ac:dyDescent="0.35">
      <c r="B126" s="15" t="s">
        <v>89</v>
      </c>
      <c r="F126" s="38"/>
      <c r="G126" s="145"/>
      <c r="H126" s="145"/>
      <c r="I126" s="145"/>
      <c r="J126" s="145"/>
      <c r="K126" s="145"/>
    </row>
    <row r="127" spans="1:12" x14ac:dyDescent="0.35">
      <c r="B127" s="15" t="s">
        <v>90</v>
      </c>
      <c r="F127" s="38"/>
      <c r="G127" s="145"/>
      <c r="H127" s="145"/>
      <c r="I127" s="145"/>
      <c r="J127" s="145"/>
      <c r="K127" s="145"/>
    </row>
    <row r="128" spans="1:12" x14ac:dyDescent="0.35">
      <c r="B128" s="15" t="s">
        <v>122</v>
      </c>
      <c r="F128" s="38"/>
      <c r="G128" s="145"/>
      <c r="H128" s="145"/>
      <c r="I128" s="145"/>
      <c r="J128" s="145"/>
      <c r="K128" s="145"/>
    </row>
    <row r="129" spans="1:11" x14ac:dyDescent="0.35">
      <c r="B129" s="15" t="s">
        <v>177</v>
      </c>
      <c r="F129" s="38"/>
      <c r="G129" s="145"/>
      <c r="H129" s="145"/>
      <c r="I129" s="145"/>
      <c r="J129" s="145"/>
      <c r="K129" s="145"/>
    </row>
    <row r="130" spans="1:11" x14ac:dyDescent="0.35">
      <c r="B130" s="15" t="s">
        <v>178</v>
      </c>
      <c r="F130" s="38"/>
      <c r="G130" s="145"/>
      <c r="H130" s="145"/>
      <c r="I130" s="145"/>
      <c r="J130" s="145"/>
      <c r="K130" s="145"/>
    </row>
    <row r="131" spans="1:11" x14ac:dyDescent="0.35">
      <c r="B131" s="15" t="s">
        <v>141</v>
      </c>
      <c r="F131" s="38"/>
      <c r="G131" s="145"/>
      <c r="H131" s="145"/>
      <c r="I131" s="145"/>
      <c r="J131" s="145"/>
      <c r="K131" s="145"/>
    </row>
    <row r="132" spans="1:11" x14ac:dyDescent="0.35">
      <c r="B132" s="15" t="s">
        <v>91</v>
      </c>
      <c r="F132" s="38"/>
      <c r="G132" s="145"/>
      <c r="H132" s="145"/>
      <c r="I132" s="145"/>
      <c r="J132" s="145"/>
      <c r="K132" s="145"/>
    </row>
    <row r="133" spans="1:11" s="42" customFormat="1" ht="13.15" x14ac:dyDescent="0.4">
      <c r="A133" s="15"/>
      <c r="B133" s="90" t="s">
        <v>92</v>
      </c>
      <c r="C133" s="90"/>
      <c r="D133" s="90"/>
      <c r="E133" s="90"/>
      <c r="F133" s="92"/>
      <c r="G133" s="161"/>
      <c r="H133" s="161"/>
      <c r="I133" s="161"/>
      <c r="J133" s="161"/>
      <c r="K133" s="161"/>
    </row>
    <row r="134" spans="1:11" x14ac:dyDescent="0.35">
      <c r="F134" s="38"/>
      <c r="G134" s="38"/>
      <c r="H134" s="38"/>
      <c r="I134" s="38"/>
      <c r="J134" s="38"/>
      <c r="K134" s="38"/>
    </row>
    <row r="135" spans="1:11" x14ac:dyDescent="0.35">
      <c r="B135" s="15" t="s">
        <v>93</v>
      </c>
      <c r="F135" s="38"/>
      <c r="G135" s="145"/>
      <c r="H135" s="145"/>
      <c r="I135" s="145"/>
      <c r="J135" s="145"/>
      <c r="K135" s="145"/>
    </row>
    <row r="136" spans="1:11" s="42" customFormat="1" ht="13.15" x14ac:dyDescent="0.4">
      <c r="A136" s="15"/>
      <c r="B136" s="90" t="s">
        <v>94</v>
      </c>
      <c r="C136" s="90"/>
      <c r="D136" s="90"/>
      <c r="E136" s="90"/>
      <c r="F136" s="92"/>
      <c r="G136" s="161"/>
      <c r="H136" s="161"/>
      <c r="I136" s="161"/>
      <c r="J136" s="161"/>
      <c r="K136" s="161"/>
    </row>
    <row r="137" spans="1:11" x14ac:dyDescent="0.35">
      <c r="G137" s="38"/>
      <c r="H137" s="38"/>
      <c r="I137" s="38"/>
      <c r="J137" s="38"/>
      <c r="K137" s="38"/>
    </row>
    <row r="138" spans="1:11" x14ac:dyDescent="0.35">
      <c r="B138" s="10" t="s">
        <v>95</v>
      </c>
      <c r="C138" s="10"/>
      <c r="D138" s="10"/>
      <c r="E138" s="10"/>
      <c r="F138" s="13"/>
      <c r="G138" s="148"/>
      <c r="H138" s="148"/>
      <c r="I138" s="148"/>
      <c r="J138" s="148"/>
      <c r="K138" s="148"/>
    </row>
    <row r="139" spans="1:11" s="42" customFormat="1" ht="13.15" x14ac:dyDescent="0.4">
      <c r="A139" s="15"/>
      <c r="B139" s="42" t="s">
        <v>96</v>
      </c>
      <c r="F139" s="40"/>
      <c r="G139" s="138"/>
      <c r="H139" s="138"/>
      <c r="I139" s="138"/>
      <c r="J139" s="138"/>
      <c r="K139" s="138"/>
    </row>
    <row r="140" spans="1:11" x14ac:dyDescent="0.35">
      <c r="B140" s="10" t="s">
        <v>97</v>
      </c>
      <c r="C140" s="10"/>
      <c r="D140" s="10"/>
      <c r="E140" s="10"/>
      <c r="F140" s="13"/>
      <c r="G140" s="148"/>
      <c r="H140" s="148"/>
      <c r="I140" s="148"/>
      <c r="J140" s="148"/>
      <c r="K140" s="148"/>
    </row>
    <row r="141" spans="1:11" s="42" customFormat="1" ht="13.15" x14ac:dyDescent="0.4">
      <c r="A141" s="15"/>
      <c r="B141" s="42" t="s">
        <v>98</v>
      </c>
      <c r="F141" s="40"/>
      <c r="G141" s="138"/>
      <c r="H141" s="138"/>
      <c r="I141" s="138"/>
      <c r="J141" s="138"/>
      <c r="K141" s="138"/>
    </row>
    <row r="142" spans="1:11" x14ac:dyDescent="0.35">
      <c r="B142" s="15" t="s">
        <v>131</v>
      </c>
      <c r="F142" s="38"/>
      <c r="G142" s="145"/>
      <c r="H142" s="145"/>
      <c r="I142" s="145"/>
      <c r="J142" s="145"/>
      <c r="K142" s="145"/>
    </row>
    <row r="143" spans="1:11" ht="13.15" x14ac:dyDescent="0.4">
      <c r="B143" s="90" t="s">
        <v>139</v>
      </c>
      <c r="C143" s="90"/>
      <c r="D143" s="90"/>
      <c r="E143" s="90"/>
      <c r="F143" s="93"/>
      <c r="G143" s="161"/>
      <c r="H143" s="161"/>
      <c r="I143" s="161"/>
      <c r="J143" s="161"/>
      <c r="K143" s="161"/>
    </row>
    <row r="144" spans="1:11" x14ac:dyDescent="0.35">
      <c r="F144" s="38"/>
      <c r="G144" s="38"/>
      <c r="H144" s="38"/>
      <c r="I144" s="38"/>
      <c r="J144" s="38"/>
      <c r="K144" s="38"/>
    </row>
    <row r="145" spans="2:11" ht="13.15" x14ac:dyDescent="0.4">
      <c r="B145" s="15" t="s">
        <v>99</v>
      </c>
      <c r="F145" s="38"/>
      <c r="G145" s="138"/>
      <c r="H145" s="138"/>
      <c r="I145" s="138"/>
      <c r="J145" s="138"/>
      <c r="K145" s="138"/>
    </row>
    <row r="146" spans="2:11" x14ac:dyDescent="0.35">
      <c r="B146" s="15" t="s">
        <v>100</v>
      </c>
      <c r="F146" s="38"/>
      <c r="G146" s="145"/>
      <c r="H146" s="145"/>
      <c r="I146" s="145"/>
      <c r="J146" s="145"/>
      <c r="K146" s="145"/>
    </row>
    <row r="147" spans="2:11" ht="13.15" x14ac:dyDescent="0.4">
      <c r="B147" s="90" t="s">
        <v>101</v>
      </c>
      <c r="C147" s="90"/>
      <c r="D147" s="90"/>
      <c r="E147" s="90"/>
      <c r="F147" s="92"/>
      <c r="G147" s="161"/>
      <c r="H147" s="161"/>
      <c r="I147" s="161"/>
      <c r="J147" s="161"/>
      <c r="K147" s="161"/>
    </row>
    <row r="148" spans="2:11" ht="13.15" x14ac:dyDescent="0.4">
      <c r="B148" s="42"/>
      <c r="C148" s="42"/>
      <c r="D148" s="42"/>
      <c r="E148" s="42"/>
      <c r="F148" s="40"/>
      <c r="G148" s="38"/>
      <c r="H148" s="38"/>
      <c r="I148" s="38"/>
      <c r="J148" s="38"/>
      <c r="K148" s="38"/>
    </row>
    <row r="149" spans="2:11" ht="13.15" x14ac:dyDescent="0.4">
      <c r="B149" s="121" t="s">
        <v>102</v>
      </c>
      <c r="C149" s="121"/>
      <c r="D149" s="121"/>
      <c r="E149" s="121"/>
      <c r="F149" s="121"/>
      <c r="G149" s="123"/>
      <c r="H149" s="123"/>
      <c r="I149" s="123"/>
      <c r="J149" s="123"/>
      <c r="K149" s="123"/>
    </row>
    <row r="150" spans="2:11" x14ac:dyDescent="0.35">
      <c r="B150" s="15" t="s">
        <v>109</v>
      </c>
      <c r="F150" s="41"/>
      <c r="G150" s="166"/>
      <c r="H150" s="167"/>
      <c r="I150" s="167"/>
      <c r="J150" s="167"/>
      <c r="K150" s="167"/>
    </row>
    <row r="151" spans="2:11" x14ac:dyDescent="0.35">
      <c r="F151" s="41"/>
      <c r="G151" s="61"/>
      <c r="H151" s="39"/>
      <c r="I151" s="39"/>
      <c r="J151" s="39"/>
      <c r="K151" s="39"/>
    </row>
    <row r="152" spans="2:11" ht="13.15" x14ac:dyDescent="0.4">
      <c r="B152" s="34" t="s">
        <v>150</v>
      </c>
      <c r="C152" s="34"/>
      <c r="D152" s="34"/>
      <c r="E152" s="34"/>
      <c r="F152" s="34"/>
      <c r="G152" s="34"/>
      <c r="H152" s="34"/>
      <c r="I152" s="34"/>
      <c r="J152" s="34"/>
      <c r="K152" s="34"/>
    </row>
    <row r="154" spans="2:11" ht="13.15" x14ac:dyDescent="0.4">
      <c r="B154" s="19" t="s">
        <v>110</v>
      </c>
      <c r="C154" s="19"/>
      <c r="D154" s="19"/>
      <c r="E154" s="19"/>
      <c r="F154" s="19"/>
      <c r="G154" s="24">
        <v>2021</v>
      </c>
      <c r="H154" s="24">
        <f>+G154+1</f>
        <v>2022</v>
      </c>
      <c r="I154" s="24">
        <f>+H154+1</f>
        <v>2023</v>
      </c>
      <c r="J154" s="24">
        <f>+I154+1</f>
        <v>2024</v>
      </c>
      <c r="K154" s="24">
        <f>+J154+1</f>
        <v>2025</v>
      </c>
    </row>
    <row r="155" spans="2:11" x14ac:dyDescent="0.35">
      <c r="G155" s="62"/>
      <c r="H155" s="62"/>
    </row>
    <row r="156" spans="2:11" x14ac:dyDescent="0.35">
      <c r="B156" s="37" t="s">
        <v>111</v>
      </c>
      <c r="C156" s="37"/>
      <c r="D156" s="37"/>
      <c r="E156" s="37"/>
      <c r="F156" s="37"/>
      <c r="G156" s="63">
        <v>150</v>
      </c>
      <c r="H156" s="63">
        <f>+G156+25</f>
        <v>175</v>
      </c>
      <c r="I156" s="63">
        <f>+H156+25</f>
        <v>200</v>
      </c>
      <c r="J156" s="63">
        <f>+I156+25</f>
        <v>225</v>
      </c>
      <c r="K156" s="63">
        <f>+J156+25</f>
        <v>250</v>
      </c>
    </row>
    <row r="158" spans="2:11" ht="13.15" x14ac:dyDescent="0.4">
      <c r="B158" s="16" t="s">
        <v>18</v>
      </c>
      <c r="C158" s="16"/>
      <c r="D158" s="16"/>
      <c r="E158" s="16"/>
      <c r="F158" s="16"/>
    </row>
    <row r="159" spans="2:11" x14ac:dyDescent="0.35">
      <c r="B159" s="15" t="s">
        <v>112</v>
      </c>
      <c r="G159" s="169"/>
      <c r="H159" s="169"/>
      <c r="I159" s="169"/>
      <c r="J159" s="169"/>
      <c r="K159" s="169"/>
    </row>
    <row r="160" spans="2:11" x14ac:dyDescent="0.35">
      <c r="B160" s="10" t="s">
        <v>97</v>
      </c>
      <c r="C160" s="10"/>
      <c r="D160" s="10"/>
      <c r="E160" s="10"/>
      <c r="F160" s="10"/>
      <c r="G160" s="170"/>
      <c r="H160" s="170"/>
      <c r="I160" s="170"/>
      <c r="J160" s="170"/>
      <c r="K160" s="170"/>
    </row>
    <row r="161" spans="2:11" ht="13.15" x14ac:dyDescent="0.4">
      <c r="B161" s="42" t="s">
        <v>113</v>
      </c>
      <c r="C161" s="42"/>
      <c r="D161" s="42"/>
      <c r="E161" s="42"/>
      <c r="F161" s="42"/>
      <c r="G161" s="171"/>
      <c r="H161" s="171"/>
      <c r="I161" s="171"/>
      <c r="J161" s="171"/>
      <c r="K161" s="171"/>
    </row>
    <row r="162" spans="2:11" x14ac:dyDescent="0.35">
      <c r="G162" s="31"/>
      <c r="H162" s="43"/>
      <c r="I162" s="43"/>
      <c r="J162" s="43"/>
      <c r="K162" s="43"/>
    </row>
    <row r="163" spans="2:11" x14ac:dyDescent="0.35">
      <c r="B163" s="52" t="s">
        <v>147</v>
      </c>
      <c r="G163" s="139"/>
      <c r="H163" s="136"/>
      <c r="I163" s="136"/>
      <c r="J163" s="136"/>
      <c r="K163" s="136"/>
    </row>
    <row r="164" spans="2:11" x14ac:dyDescent="0.35">
      <c r="G164" s="31"/>
      <c r="H164" s="43"/>
      <c r="I164" s="43"/>
      <c r="J164" s="43"/>
      <c r="K164" s="43"/>
    </row>
    <row r="165" spans="2:11" x14ac:dyDescent="0.35">
      <c r="B165" s="15" t="s">
        <v>114</v>
      </c>
      <c r="G165" s="136"/>
      <c r="H165" s="136"/>
      <c r="I165" s="136"/>
      <c r="J165" s="136"/>
      <c r="K165" s="136"/>
    </row>
    <row r="166" spans="2:11" x14ac:dyDescent="0.35">
      <c r="B166" s="15" t="s">
        <v>115</v>
      </c>
      <c r="G166" s="136"/>
      <c r="H166" s="136"/>
      <c r="I166" s="136"/>
      <c r="J166" s="136"/>
      <c r="K166" s="136"/>
    </row>
    <row r="167" spans="2:11" x14ac:dyDescent="0.35">
      <c r="G167" s="38"/>
      <c r="H167" s="38"/>
      <c r="I167" s="38"/>
      <c r="J167" s="38"/>
      <c r="K167" s="38"/>
    </row>
    <row r="168" spans="2:11" x14ac:dyDescent="0.35">
      <c r="B168" s="15" t="s">
        <v>116</v>
      </c>
      <c r="G168" s="172"/>
      <c r="H168" s="172"/>
      <c r="I168" s="172"/>
      <c r="J168" s="172"/>
      <c r="K168" s="172"/>
    </row>
    <row r="169" spans="2:11" x14ac:dyDescent="0.35">
      <c r="B169" s="15" t="s">
        <v>117</v>
      </c>
      <c r="G169" s="169"/>
      <c r="H169" s="169"/>
      <c r="I169" s="169"/>
      <c r="J169" s="169"/>
      <c r="K169" s="169"/>
    </row>
    <row r="170" spans="2:11" x14ac:dyDescent="0.35">
      <c r="G170" s="38"/>
      <c r="H170" s="38"/>
      <c r="I170" s="38"/>
      <c r="J170" s="38"/>
      <c r="K170" s="38"/>
    </row>
    <row r="171" spans="2:11" x14ac:dyDescent="0.35">
      <c r="B171" s="15" t="s">
        <v>118</v>
      </c>
      <c r="G171" s="173"/>
      <c r="H171" s="174"/>
      <c r="I171" s="174"/>
      <c r="J171" s="174"/>
      <c r="K171" s="174"/>
    </row>
    <row r="172" spans="2:11" x14ac:dyDescent="0.35">
      <c r="B172" s="15" t="s">
        <v>119</v>
      </c>
      <c r="G172" s="175"/>
      <c r="H172" s="175"/>
      <c r="I172" s="175"/>
      <c r="J172" s="175"/>
      <c r="K172" s="175"/>
    </row>
    <row r="173" spans="2:11" x14ac:dyDescent="0.35">
      <c r="G173" s="38"/>
      <c r="H173" s="38"/>
      <c r="I173" s="38"/>
      <c r="J173" s="38"/>
      <c r="K173" s="38"/>
    </row>
    <row r="174" spans="2:11" ht="13.15" x14ac:dyDescent="0.4">
      <c r="B174" s="16" t="s">
        <v>160</v>
      </c>
      <c r="C174" s="16"/>
      <c r="D174" s="16"/>
      <c r="E174" s="16"/>
      <c r="F174" s="16"/>
      <c r="G174" s="38"/>
      <c r="H174" s="38"/>
      <c r="I174" s="38"/>
      <c r="J174" s="38"/>
      <c r="K174" s="38"/>
    </row>
    <row r="175" spans="2:11" x14ac:dyDescent="0.35">
      <c r="B175" s="15" t="s">
        <v>112</v>
      </c>
      <c r="G175" s="136"/>
      <c r="H175" s="136"/>
      <c r="I175" s="136"/>
      <c r="J175" s="136"/>
      <c r="K175" s="136"/>
    </row>
    <row r="176" spans="2:11" x14ac:dyDescent="0.35">
      <c r="B176" s="15" t="s">
        <v>95</v>
      </c>
      <c r="G176" s="145"/>
      <c r="H176" s="145"/>
      <c r="I176" s="145"/>
      <c r="J176" s="145"/>
      <c r="K176" s="145"/>
    </row>
    <row r="177" spans="2:11" x14ac:dyDescent="0.35">
      <c r="B177" s="10" t="s">
        <v>131</v>
      </c>
      <c r="C177" s="10"/>
      <c r="D177" s="10"/>
      <c r="E177" s="10"/>
      <c r="F177" s="10"/>
      <c r="G177" s="148"/>
      <c r="H177" s="148"/>
      <c r="I177" s="148"/>
      <c r="J177" s="148"/>
      <c r="K177" s="148"/>
    </row>
    <row r="178" spans="2:11" ht="13.15" x14ac:dyDescent="0.4">
      <c r="B178" s="42" t="s">
        <v>113</v>
      </c>
      <c r="C178" s="42"/>
      <c r="D178" s="42"/>
      <c r="E178" s="42"/>
      <c r="F178" s="42"/>
      <c r="G178" s="138"/>
      <c r="H178" s="138"/>
      <c r="I178" s="138"/>
      <c r="J178" s="138"/>
      <c r="K178" s="138"/>
    </row>
    <row r="179" spans="2:11" x14ac:dyDescent="0.35">
      <c r="G179" s="38"/>
      <c r="H179" s="38"/>
      <c r="I179" s="38"/>
      <c r="J179" s="38"/>
      <c r="K179" s="38"/>
    </row>
    <row r="180" spans="2:11" x14ac:dyDescent="0.35">
      <c r="B180" s="15" t="s">
        <v>161</v>
      </c>
      <c r="G180" s="172"/>
      <c r="H180" s="172"/>
      <c r="I180" s="172"/>
      <c r="J180" s="172"/>
      <c r="K180" s="172"/>
    </row>
    <row r="181" spans="2:11" x14ac:dyDescent="0.35">
      <c r="B181" s="15" t="s">
        <v>162</v>
      </c>
      <c r="G181" s="136"/>
      <c r="H181" s="136"/>
      <c r="I181" s="136"/>
      <c r="J181" s="136"/>
      <c r="K181" s="136"/>
    </row>
    <row r="182" spans="2:11" x14ac:dyDescent="0.35">
      <c r="G182" s="38"/>
      <c r="H182" s="38"/>
      <c r="I182" s="38"/>
      <c r="J182" s="38"/>
      <c r="K182" s="38"/>
    </row>
    <row r="183" spans="2:11" ht="13.15" x14ac:dyDescent="0.4">
      <c r="B183" s="16" t="s">
        <v>19</v>
      </c>
      <c r="C183" s="16"/>
      <c r="D183" s="16"/>
      <c r="E183" s="16"/>
      <c r="F183" s="16"/>
      <c r="G183" s="38"/>
      <c r="H183" s="38"/>
      <c r="I183" s="38"/>
      <c r="J183" s="38"/>
      <c r="K183" s="38"/>
    </row>
    <row r="184" spans="2:11" x14ac:dyDescent="0.35">
      <c r="B184" s="15" t="s">
        <v>112</v>
      </c>
      <c r="G184" s="136"/>
      <c r="H184" s="136"/>
      <c r="I184" s="136"/>
      <c r="J184" s="136"/>
      <c r="K184" s="136"/>
    </row>
    <row r="185" spans="2:11" x14ac:dyDescent="0.35">
      <c r="B185" s="10" t="s">
        <v>95</v>
      </c>
      <c r="C185" s="10"/>
      <c r="D185" s="10"/>
      <c r="E185" s="10"/>
      <c r="F185" s="10"/>
      <c r="G185" s="148"/>
      <c r="H185" s="148"/>
      <c r="I185" s="148"/>
      <c r="J185" s="148"/>
      <c r="K185" s="148"/>
    </row>
    <row r="186" spans="2:11" ht="13.15" x14ac:dyDescent="0.4">
      <c r="B186" s="42" t="s">
        <v>113</v>
      </c>
      <c r="C186" s="42"/>
      <c r="D186" s="42"/>
      <c r="E186" s="42"/>
      <c r="F186" s="42"/>
      <c r="G186" s="138"/>
      <c r="H186" s="138"/>
      <c r="I186" s="138"/>
      <c r="J186" s="138"/>
      <c r="K186" s="138"/>
    </row>
    <row r="187" spans="2:11" x14ac:dyDescent="0.35">
      <c r="G187" s="38"/>
      <c r="H187" s="38"/>
      <c r="I187" s="38"/>
      <c r="J187" s="38"/>
      <c r="K187" s="38"/>
    </row>
    <row r="188" spans="2:11" x14ac:dyDescent="0.35">
      <c r="B188" s="15" t="s">
        <v>120</v>
      </c>
      <c r="G188" s="172"/>
      <c r="H188" s="172"/>
      <c r="I188" s="172"/>
      <c r="J188" s="172"/>
      <c r="K188" s="172"/>
    </row>
    <row r="189" spans="2:11" x14ac:dyDescent="0.35">
      <c r="B189" s="15" t="s">
        <v>121</v>
      </c>
      <c r="G189" s="169"/>
      <c r="H189" s="169"/>
      <c r="I189" s="169"/>
      <c r="J189" s="169"/>
      <c r="K189" s="169"/>
    </row>
    <row r="190" spans="2:11" x14ac:dyDescent="0.35">
      <c r="G190" s="43"/>
      <c r="H190" s="43"/>
      <c r="I190" s="43"/>
      <c r="J190" s="43"/>
      <c r="K190" s="43"/>
    </row>
    <row r="191" spans="2:11" ht="13.15" x14ac:dyDescent="0.4">
      <c r="B191" s="16" t="s">
        <v>28</v>
      </c>
      <c r="C191" s="16"/>
      <c r="D191" s="16"/>
      <c r="E191" s="16"/>
      <c r="F191" s="16"/>
      <c r="G191" s="38"/>
      <c r="H191" s="38"/>
      <c r="I191" s="38"/>
      <c r="J191" s="38"/>
      <c r="K191" s="38"/>
    </row>
    <row r="192" spans="2:11" x14ac:dyDescent="0.35">
      <c r="B192" s="15" t="s">
        <v>112</v>
      </c>
      <c r="G192" s="136"/>
      <c r="H192" s="136"/>
      <c r="I192" s="136"/>
      <c r="J192" s="136"/>
      <c r="K192" s="136"/>
    </row>
    <row r="193" spans="2:11" x14ac:dyDescent="0.35">
      <c r="B193" s="15" t="s">
        <v>95</v>
      </c>
      <c r="G193" s="145"/>
      <c r="H193" s="145"/>
      <c r="I193" s="145"/>
      <c r="J193" s="145"/>
      <c r="K193" s="145"/>
    </row>
    <row r="194" spans="2:11" x14ac:dyDescent="0.35">
      <c r="B194" s="10" t="s">
        <v>122</v>
      </c>
      <c r="C194" s="10"/>
      <c r="D194" s="10"/>
      <c r="E194" s="10"/>
      <c r="F194" s="10"/>
      <c r="G194" s="148"/>
      <c r="H194" s="148"/>
      <c r="I194" s="148"/>
      <c r="J194" s="148"/>
      <c r="K194" s="148"/>
    </row>
    <row r="195" spans="2:11" ht="13.15" x14ac:dyDescent="0.4">
      <c r="B195" s="42" t="s">
        <v>113</v>
      </c>
      <c r="C195" s="42"/>
      <c r="D195" s="42"/>
      <c r="E195" s="42"/>
      <c r="F195" s="42"/>
      <c r="G195" s="138"/>
      <c r="H195" s="138"/>
      <c r="I195" s="138"/>
      <c r="J195" s="138"/>
      <c r="K195" s="138"/>
    </row>
    <row r="196" spans="2:11" ht="13.15" x14ac:dyDescent="0.4">
      <c r="B196" s="42"/>
      <c r="C196" s="42"/>
      <c r="D196" s="42"/>
      <c r="E196" s="42"/>
      <c r="F196" s="42"/>
      <c r="G196" s="73"/>
      <c r="H196" s="73"/>
      <c r="I196" s="73"/>
      <c r="J196" s="73"/>
      <c r="K196" s="73"/>
    </row>
    <row r="197" spans="2:11" x14ac:dyDescent="0.35">
      <c r="B197" s="15" t="s">
        <v>140</v>
      </c>
      <c r="G197" s="176"/>
      <c r="H197" s="172"/>
      <c r="I197" s="172"/>
      <c r="J197" s="172"/>
      <c r="K197" s="172"/>
    </row>
    <row r="198" spans="2:11" x14ac:dyDescent="0.35">
      <c r="B198" s="15" t="s">
        <v>138</v>
      </c>
      <c r="G198" s="176"/>
      <c r="H198" s="172"/>
      <c r="I198" s="172"/>
      <c r="J198" s="172"/>
      <c r="K198" s="172"/>
    </row>
    <row r="200" spans="2:11" ht="13.15" x14ac:dyDescent="0.4">
      <c r="B200" s="15" t="s">
        <v>137</v>
      </c>
      <c r="F200" s="42"/>
      <c r="G200" s="136"/>
      <c r="H200" s="136"/>
      <c r="I200" s="136"/>
      <c r="J200" s="136"/>
      <c r="K200" s="136"/>
    </row>
    <row r="201" spans="2:11" x14ac:dyDescent="0.35">
      <c r="B201" s="15" t="s">
        <v>136</v>
      </c>
      <c r="G201" s="136"/>
      <c r="H201" s="136"/>
      <c r="I201" s="136"/>
      <c r="J201" s="136"/>
      <c r="K201" s="136"/>
    </row>
    <row r="203" spans="2:11" ht="13.15" x14ac:dyDescent="0.4">
      <c r="B203" s="121" t="s">
        <v>188</v>
      </c>
      <c r="C203" s="121"/>
      <c r="D203" s="121"/>
      <c r="E203" s="121"/>
      <c r="F203" s="121"/>
      <c r="G203" s="123"/>
      <c r="H203" s="123"/>
      <c r="I203" s="123"/>
      <c r="J203" s="123"/>
      <c r="K203" s="123"/>
    </row>
    <row r="204" spans="2:11" x14ac:dyDescent="0.35">
      <c r="B204" s="15" t="s">
        <v>18</v>
      </c>
      <c r="G204" s="145"/>
      <c r="H204" s="145"/>
      <c r="I204" s="145"/>
      <c r="J204" s="145"/>
      <c r="K204" s="145"/>
    </row>
    <row r="205" spans="2:11" x14ac:dyDescent="0.35">
      <c r="B205" s="15" t="s">
        <v>119</v>
      </c>
      <c r="G205" s="177"/>
      <c r="H205" s="177"/>
      <c r="I205" s="177"/>
      <c r="J205" s="177"/>
      <c r="K205" s="177"/>
    </row>
    <row r="206" spans="2:11" x14ac:dyDescent="0.35">
      <c r="B206" s="15" t="s">
        <v>160</v>
      </c>
      <c r="G206" s="145"/>
      <c r="H206" s="145"/>
      <c r="I206" s="145"/>
      <c r="J206" s="145"/>
      <c r="K206" s="145"/>
    </row>
    <row r="207" spans="2:11" x14ac:dyDescent="0.35">
      <c r="B207" s="15" t="s">
        <v>19</v>
      </c>
      <c r="G207" s="145"/>
      <c r="H207" s="145"/>
      <c r="I207" s="145"/>
      <c r="J207" s="145"/>
      <c r="K207" s="145"/>
    </row>
    <row r="208" spans="2:11" x14ac:dyDescent="0.35">
      <c r="B208" s="15" t="s">
        <v>28</v>
      </c>
      <c r="G208" s="145"/>
      <c r="H208" s="145"/>
      <c r="I208" s="145"/>
      <c r="J208" s="145"/>
      <c r="K208" s="145"/>
    </row>
    <row r="209" spans="1:12" s="42" customFormat="1" ht="13.15" x14ac:dyDescent="0.4">
      <c r="A209" s="15"/>
      <c r="B209" s="90" t="s">
        <v>132</v>
      </c>
      <c r="C209" s="90"/>
      <c r="D209" s="90"/>
      <c r="E209" s="90"/>
      <c r="F209" s="90"/>
      <c r="G209" s="161"/>
      <c r="H209" s="161"/>
      <c r="I209" s="161"/>
      <c r="J209" s="161"/>
      <c r="K209" s="161"/>
    </row>
    <row r="210" spans="1:12" s="42" customFormat="1" ht="13.15" x14ac:dyDescent="0.4">
      <c r="A210" s="15"/>
      <c r="G210" s="29"/>
      <c r="H210" s="29"/>
      <c r="I210" s="29"/>
      <c r="J210" s="29"/>
      <c r="K210" s="29"/>
    </row>
    <row r="211" spans="1:12" s="42" customFormat="1" ht="13.15" x14ac:dyDescent="0.4">
      <c r="A211" s="15"/>
      <c r="B211" s="34" t="s">
        <v>151</v>
      </c>
      <c r="C211" s="34"/>
      <c r="D211" s="34"/>
      <c r="E211" s="34"/>
      <c r="F211" s="34"/>
      <c r="G211" s="34"/>
      <c r="H211" s="34"/>
      <c r="I211" s="34"/>
      <c r="J211" s="34"/>
      <c r="K211" s="34"/>
    </row>
    <row r="212" spans="1:12" ht="13.15" x14ac:dyDescent="0.4">
      <c r="G212" s="29"/>
      <c r="H212" s="29"/>
      <c r="I212" s="29"/>
      <c r="J212" s="29"/>
      <c r="K212" s="29"/>
    </row>
    <row r="213" spans="1:12" ht="13.15" x14ac:dyDescent="0.4">
      <c r="B213" s="19" t="s">
        <v>82</v>
      </c>
      <c r="C213" s="19"/>
      <c r="D213" s="19"/>
      <c r="E213" s="19"/>
      <c r="F213" s="23">
        <v>2020</v>
      </c>
      <c r="G213" s="24">
        <v>2021</v>
      </c>
      <c r="H213" s="24">
        <f>+G213+1</f>
        <v>2022</v>
      </c>
      <c r="I213" s="24">
        <f>+H213+1</f>
        <v>2023</v>
      </c>
      <c r="J213" s="24">
        <f>+I213+1</f>
        <v>2024</v>
      </c>
      <c r="K213" s="24">
        <f>+J213+1</f>
        <v>2025</v>
      </c>
    </row>
    <row r="215" spans="1:12" x14ac:dyDescent="0.35">
      <c r="B215" s="15" t="s">
        <v>50</v>
      </c>
      <c r="F215" s="136"/>
      <c r="G215" s="136"/>
      <c r="H215" s="136"/>
      <c r="I215" s="136"/>
      <c r="J215" s="136"/>
      <c r="K215" s="136"/>
      <c r="L215" s="36"/>
    </row>
    <row r="216" spans="1:12" x14ac:dyDescent="0.35">
      <c r="B216" s="15" t="s">
        <v>51</v>
      </c>
      <c r="F216" s="145"/>
      <c r="G216" s="145"/>
      <c r="H216" s="145"/>
      <c r="I216" s="145"/>
      <c r="J216" s="145"/>
      <c r="K216" s="145"/>
      <c r="L216" s="36"/>
    </row>
    <row r="217" spans="1:12" x14ac:dyDescent="0.35">
      <c r="B217" s="15" t="s">
        <v>52</v>
      </c>
      <c r="F217" s="145"/>
      <c r="G217" s="145"/>
      <c r="H217" s="145"/>
      <c r="I217" s="145"/>
      <c r="J217" s="145"/>
      <c r="K217" s="145"/>
      <c r="L217" s="36"/>
    </row>
    <row r="218" spans="1:12" x14ac:dyDescent="0.35">
      <c r="B218" s="10" t="s">
        <v>53</v>
      </c>
      <c r="C218" s="10"/>
      <c r="D218" s="10"/>
      <c r="E218" s="10"/>
      <c r="F218" s="148"/>
      <c r="G218" s="148"/>
      <c r="H218" s="148"/>
      <c r="I218" s="148"/>
      <c r="J218" s="148"/>
      <c r="K218" s="148"/>
      <c r="L218" s="36"/>
    </row>
    <row r="219" spans="1:12" s="42" customFormat="1" ht="13.15" x14ac:dyDescent="0.4">
      <c r="B219" s="42" t="s">
        <v>54</v>
      </c>
      <c r="F219" s="138"/>
      <c r="G219" s="138"/>
      <c r="H219" s="138"/>
      <c r="I219" s="138"/>
      <c r="J219" s="138"/>
      <c r="K219" s="138"/>
    </row>
    <row r="220" spans="1:12" x14ac:dyDescent="0.35">
      <c r="F220" s="72"/>
      <c r="G220" s="72"/>
      <c r="H220" s="72"/>
      <c r="I220" s="72"/>
      <c r="J220" s="72"/>
      <c r="K220" s="72"/>
    </row>
    <row r="221" spans="1:12" x14ac:dyDescent="0.35">
      <c r="B221" s="15" t="s">
        <v>55</v>
      </c>
      <c r="F221" s="136"/>
      <c r="G221" s="136"/>
      <c r="H221" s="136"/>
      <c r="I221" s="136"/>
      <c r="J221" s="136"/>
      <c r="K221" s="136"/>
      <c r="L221" s="36"/>
    </row>
    <row r="222" spans="1:12" x14ac:dyDescent="0.35">
      <c r="B222" s="15" t="s">
        <v>56</v>
      </c>
      <c r="F222" s="145"/>
      <c r="G222" s="145"/>
      <c r="H222" s="145"/>
      <c r="I222" s="145"/>
      <c r="J222" s="145"/>
      <c r="K222" s="145"/>
      <c r="L222" s="36"/>
    </row>
    <row r="223" spans="1:12" x14ac:dyDescent="0.35">
      <c r="B223" s="10" t="s">
        <v>57</v>
      </c>
      <c r="C223" s="10"/>
      <c r="D223" s="10"/>
      <c r="E223" s="10"/>
      <c r="F223" s="148"/>
      <c r="G223" s="148"/>
      <c r="H223" s="148"/>
      <c r="I223" s="148"/>
      <c r="J223" s="148"/>
      <c r="K223" s="148"/>
      <c r="L223" s="36"/>
    </row>
    <row r="224" spans="1:12" s="42" customFormat="1" ht="13.15" x14ac:dyDescent="0.4">
      <c r="B224" s="42" t="s">
        <v>58</v>
      </c>
      <c r="F224" s="138"/>
      <c r="G224" s="138"/>
      <c r="H224" s="138"/>
      <c r="I224" s="138"/>
      <c r="J224" s="138"/>
      <c r="K224" s="138"/>
    </row>
    <row r="225" spans="2:12" x14ac:dyDescent="0.35">
      <c r="F225" s="72"/>
      <c r="G225" s="72"/>
      <c r="H225" s="72"/>
      <c r="I225" s="72"/>
      <c r="J225" s="72"/>
      <c r="K225" s="72"/>
    </row>
    <row r="226" spans="2:12" x14ac:dyDescent="0.35">
      <c r="B226" s="15" t="s">
        <v>18</v>
      </c>
      <c r="F226" s="136"/>
      <c r="G226" s="136"/>
      <c r="H226" s="136"/>
      <c r="I226" s="136"/>
      <c r="J226" s="136"/>
      <c r="K226" s="136"/>
      <c r="L226" s="36"/>
    </row>
    <row r="227" spans="2:12" x14ac:dyDescent="0.35">
      <c r="B227" s="15" t="s">
        <v>59</v>
      </c>
      <c r="F227" s="145"/>
      <c r="G227" s="145"/>
      <c r="H227" s="145"/>
      <c r="I227" s="145"/>
      <c r="J227" s="145"/>
      <c r="K227" s="145"/>
      <c r="L227" s="36"/>
    </row>
    <row r="228" spans="2:12" x14ac:dyDescent="0.35">
      <c r="B228" s="15" t="s">
        <v>60</v>
      </c>
      <c r="F228" s="145"/>
      <c r="G228" s="145"/>
      <c r="H228" s="145"/>
      <c r="I228" s="145"/>
      <c r="J228" s="145"/>
      <c r="K228" s="145"/>
      <c r="L228" s="36"/>
    </row>
    <row r="229" spans="2:12" x14ac:dyDescent="0.35">
      <c r="B229" s="10" t="s">
        <v>133</v>
      </c>
      <c r="C229" s="10"/>
      <c r="D229" s="10"/>
      <c r="E229" s="10"/>
      <c r="F229" s="148"/>
      <c r="G229" s="148"/>
      <c r="H229" s="148"/>
      <c r="I229" s="148"/>
      <c r="J229" s="148"/>
      <c r="K229" s="148"/>
      <c r="L229" s="36"/>
    </row>
    <row r="230" spans="2:12" s="42" customFormat="1" ht="13.15" x14ac:dyDescent="0.4">
      <c r="B230" s="42" t="s">
        <v>61</v>
      </c>
      <c r="F230" s="138"/>
      <c r="G230" s="138"/>
      <c r="H230" s="138"/>
      <c r="I230" s="138"/>
      <c r="J230" s="138"/>
      <c r="K230" s="138"/>
    </row>
    <row r="231" spans="2:12" x14ac:dyDescent="0.35">
      <c r="F231" s="72"/>
      <c r="G231" s="72"/>
      <c r="H231" s="72"/>
      <c r="I231" s="72"/>
      <c r="J231" s="72"/>
      <c r="K231" s="72"/>
    </row>
    <row r="232" spans="2:12" x14ac:dyDescent="0.35">
      <c r="B232" s="15" t="s">
        <v>160</v>
      </c>
      <c r="F232" s="136"/>
      <c r="G232" s="136"/>
      <c r="H232" s="136"/>
      <c r="I232" s="136"/>
      <c r="J232" s="136"/>
      <c r="K232" s="136"/>
      <c r="L232" s="36"/>
    </row>
    <row r="233" spans="2:12" x14ac:dyDescent="0.35">
      <c r="B233" s="15" t="s">
        <v>19</v>
      </c>
      <c r="F233" s="145"/>
      <c r="G233" s="145"/>
      <c r="H233" s="145"/>
      <c r="I233" s="145"/>
      <c r="J233" s="145"/>
      <c r="K233" s="145"/>
      <c r="L233" s="36"/>
    </row>
    <row r="234" spans="2:12" x14ac:dyDescent="0.35">
      <c r="B234" s="15" t="s">
        <v>28</v>
      </c>
      <c r="F234" s="145"/>
      <c r="G234" s="145"/>
      <c r="H234" s="145"/>
      <c r="I234" s="145"/>
      <c r="J234" s="145"/>
      <c r="K234" s="145"/>
      <c r="L234" s="36"/>
    </row>
    <row r="235" spans="2:12" x14ac:dyDescent="0.35">
      <c r="B235" s="15" t="s">
        <v>63</v>
      </c>
      <c r="F235" s="145"/>
      <c r="G235" s="145"/>
      <c r="H235" s="145"/>
      <c r="I235" s="145"/>
      <c r="J235" s="145"/>
      <c r="K235" s="145"/>
      <c r="L235" s="36"/>
    </row>
    <row r="236" spans="2:12" x14ac:dyDescent="0.35">
      <c r="B236" s="10" t="s">
        <v>64</v>
      </c>
      <c r="C236" s="10"/>
      <c r="D236" s="10"/>
      <c r="E236" s="10"/>
      <c r="F236" s="148"/>
      <c r="G236" s="148"/>
      <c r="H236" s="148"/>
      <c r="I236" s="148"/>
      <c r="J236" s="148"/>
      <c r="K236" s="148"/>
      <c r="L236" s="36"/>
    </row>
    <row r="237" spans="2:12" s="42" customFormat="1" ht="13.15" x14ac:dyDescent="0.4">
      <c r="B237" s="42" t="s">
        <v>65</v>
      </c>
      <c r="F237" s="138"/>
      <c r="G237" s="138"/>
      <c r="H237" s="138"/>
      <c r="I237" s="138"/>
      <c r="J237" s="138"/>
      <c r="K237" s="138"/>
    </row>
    <row r="238" spans="2:12" x14ac:dyDescent="0.35">
      <c r="B238" s="10"/>
      <c r="C238" s="10"/>
      <c r="D238" s="10"/>
      <c r="E238" s="10"/>
      <c r="F238" s="78"/>
      <c r="G238" s="78"/>
      <c r="H238" s="78"/>
      <c r="I238" s="78"/>
      <c r="J238" s="78"/>
      <c r="K238" s="78"/>
    </row>
    <row r="239" spans="2:12" s="42" customFormat="1" ht="13.15" x14ac:dyDescent="0.4">
      <c r="B239" s="42" t="s">
        <v>66</v>
      </c>
      <c r="F239" s="138"/>
      <c r="G239" s="138"/>
      <c r="H239" s="138"/>
      <c r="I239" s="138"/>
      <c r="J239" s="138"/>
      <c r="K239" s="138"/>
    </row>
    <row r="240" spans="2:12" x14ac:dyDescent="0.35">
      <c r="B240" s="10"/>
      <c r="C240" s="10"/>
      <c r="D240" s="10"/>
      <c r="E240" s="10"/>
      <c r="F240" s="78"/>
      <c r="G240" s="78"/>
      <c r="H240" s="78"/>
      <c r="I240" s="78"/>
      <c r="J240" s="78"/>
      <c r="K240" s="78"/>
    </row>
    <row r="241" spans="2:11" s="42" customFormat="1" ht="13.15" x14ac:dyDescent="0.4">
      <c r="B241" s="42" t="s">
        <v>167</v>
      </c>
      <c r="F241" s="138"/>
      <c r="G241" s="138"/>
      <c r="H241" s="138"/>
      <c r="I241" s="138"/>
      <c r="J241" s="138"/>
      <c r="K241" s="138"/>
    </row>
    <row r="242" spans="2:11" x14ac:dyDescent="0.35">
      <c r="F242" s="72"/>
      <c r="G242" s="72"/>
      <c r="H242" s="72"/>
      <c r="I242" s="72"/>
      <c r="J242" s="72"/>
      <c r="K242" s="72"/>
    </row>
    <row r="243" spans="2:11" x14ac:dyDescent="0.35">
      <c r="B243" s="37" t="s">
        <v>68</v>
      </c>
      <c r="C243" s="37"/>
      <c r="D243" s="37"/>
      <c r="E243" s="37"/>
      <c r="F243" s="145"/>
      <c r="G243" s="145"/>
      <c r="H243" s="145"/>
      <c r="I243" s="145"/>
      <c r="J243" s="145"/>
      <c r="K243" s="145"/>
    </row>
    <row r="244" spans="2:11" x14ac:dyDescent="0.35">
      <c r="B244" s="37"/>
      <c r="C244" s="37"/>
      <c r="D244" s="37"/>
      <c r="E244" s="37"/>
      <c r="F244" s="72"/>
      <c r="G244" s="72"/>
      <c r="H244" s="72"/>
      <c r="I244" s="72"/>
      <c r="J244" s="72"/>
      <c r="K244" s="72"/>
    </row>
    <row r="245" spans="2:11" ht="13.15" x14ac:dyDescent="0.4">
      <c r="B245" s="89" t="s">
        <v>172</v>
      </c>
      <c r="C245" s="43"/>
      <c r="D245" s="43"/>
      <c r="E245" s="43"/>
      <c r="F245" s="44"/>
      <c r="G245" s="67"/>
      <c r="H245" s="67"/>
      <c r="I245" s="67"/>
      <c r="J245" s="67"/>
      <c r="K245" s="67"/>
    </row>
    <row r="246" spans="2:11" x14ac:dyDescent="0.35">
      <c r="B246" s="15" t="s">
        <v>134</v>
      </c>
      <c r="F246" s="136"/>
      <c r="G246" s="136"/>
      <c r="H246" s="136"/>
      <c r="I246" s="136"/>
      <c r="J246" s="136"/>
      <c r="K246" s="136"/>
    </row>
    <row r="247" spans="2:11" x14ac:dyDescent="0.35">
      <c r="B247" s="10" t="s">
        <v>154</v>
      </c>
      <c r="C247" s="10"/>
      <c r="D247" s="10"/>
      <c r="E247" s="10"/>
      <c r="F247" s="148"/>
      <c r="G247" s="148"/>
      <c r="H247" s="148"/>
      <c r="I247" s="148"/>
      <c r="J247" s="148"/>
      <c r="K247" s="148"/>
    </row>
    <row r="248" spans="2:11" ht="13.15" x14ac:dyDescent="0.4">
      <c r="B248" s="42" t="s">
        <v>155</v>
      </c>
      <c r="C248" s="42"/>
      <c r="D248" s="42"/>
      <c r="E248" s="42"/>
      <c r="F248" s="138"/>
      <c r="G248" s="138"/>
      <c r="H248" s="138"/>
      <c r="I248" s="138"/>
      <c r="J248" s="138"/>
      <c r="K248" s="138"/>
    </row>
    <row r="249" spans="2:11" x14ac:dyDescent="0.35">
      <c r="B249" s="37"/>
      <c r="C249" s="37"/>
      <c r="D249" s="37"/>
      <c r="E249" s="37"/>
      <c r="F249" s="43"/>
    </row>
    <row r="250" spans="2:11" ht="13.15" x14ac:dyDescent="0.4">
      <c r="B250" s="121" t="s">
        <v>168</v>
      </c>
      <c r="C250" s="121"/>
      <c r="D250" s="121"/>
      <c r="E250" s="121"/>
      <c r="F250" s="121"/>
      <c r="G250" s="123"/>
      <c r="H250" s="123"/>
      <c r="I250" s="123"/>
      <c r="J250" s="123"/>
      <c r="K250" s="123"/>
    </row>
    <row r="251" spans="2:11" x14ac:dyDescent="0.35">
      <c r="B251" s="43" t="s">
        <v>83</v>
      </c>
      <c r="C251" s="43"/>
      <c r="D251" s="43"/>
      <c r="E251" s="43"/>
      <c r="F251" s="157"/>
      <c r="G251" s="178"/>
      <c r="H251" s="178"/>
      <c r="I251" s="178"/>
      <c r="J251" s="178"/>
      <c r="K251" s="178"/>
    </row>
    <row r="252" spans="2:11" x14ac:dyDescent="0.35">
      <c r="B252" s="43" t="s">
        <v>84</v>
      </c>
      <c r="C252" s="43"/>
      <c r="D252" s="43"/>
      <c r="E252" s="43"/>
      <c r="F252" s="157"/>
      <c r="G252" s="178"/>
      <c r="H252" s="178"/>
      <c r="I252" s="178"/>
      <c r="J252" s="178"/>
      <c r="K252" s="178"/>
    </row>
    <row r="253" spans="2:11" x14ac:dyDescent="0.35">
      <c r="B253" s="43" t="s">
        <v>85</v>
      </c>
      <c r="C253" s="43"/>
      <c r="D253" s="43"/>
      <c r="E253" s="43"/>
      <c r="F253" s="179"/>
      <c r="G253" s="180"/>
      <c r="H253" s="180"/>
      <c r="I253" s="180"/>
      <c r="J253" s="180"/>
      <c r="K253" s="180"/>
    </row>
    <row r="254" spans="2:11" x14ac:dyDescent="0.35">
      <c r="B254" s="43" t="s">
        <v>86</v>
      </c>
      <c r="C254" s="43"/>
      <c r="D254" s="43"/>
      <c r="E254" s="43"/>
      <c r="F254" s="157"/>
      <c r="G254" s="178"/>
      <c r="H254" s="178"/>
      <c r="I254" s="178"/>
      <c r="J254" s="178"/>
      <c r="K254" s="178"/>
    </row>
    <row r="255" spans="2:11" x14ac:dyDescent="0.35">
      <c r="B255" s="43" t="s">
        <v>87</v>
      </c>
      <c r="C255" s="43"/>
      <c r="D255" s="43"/>
      <c r="E255" s="43"/>
      <c r="F255" s="179"/>
      <c r="G255" s="180"/>
      <c r="H255" s="180"/>
      <c r="I255" s="180"/>
      <c r="J255" s="180"/>
      <c r="K255" s="180"/>
    </row>
    <row r="256" spans="2:11" x14ac:dyDescent="0.35">
      <c r="B256" s="43" t="s">
        <v>135</v>
      </c>
      <c r="C256" s="43"/>
      <c r="D256" s="43"/>
      <c r="E256" s="43"/>
      <c r="F256" s="179"/>
      <c r="G256" s="180"/>
      <c r="H256" s="180"/>
      <c r="I256" s="180"/>
      <c r="J256" s="180"/>
      <c r="K256" s="180"/>
    </row>
    <row r="257" spans="1:11" s="42" customFormat="1" ht="13.15" x14ac:dyDescent="0.4">
      <c r="A257" s="15"/>
      <c r="F257" s="88"/>
      <c r="G257" s="88"/>
      <c r="H257" s="88"/>
      <c r="I257" s="88"/>
      <c r="J257" s="88"/>
      <c r="K257" s="88"/>
    </row>
    <row r="258" spans="1:11" s="42" customFormat="1" ht="13.15" x14ac:dyDescent="0.4">
      <c r="A258" s="15"/>
      <c r="B258" s="121" t="s">
        <v>169</v>
      </c>
      <c r="C258" s="121"/>
      <c r="D258" s="121"/>
      <c r="E258" s="121"/>
      <c r="F258" s="121"/>
      <c r="G258" s="123"/>
      <c r="H258" s="123"/>
      <c r="I258" s="123"/>
      <c r="J258" s="123"/>
      <c r="K258" s="123"/>
    </row>
    <row r="259" spans="1:11" x14ac:dyDescent="0.35">
      <c r="B259" s="15" t="s">
        <v>18</v>
      </c>
      <c r="F259" s="45"/>
      <c r="G259" s="181"/>
      <c r="H259" s="181"/>
      <c r="I259" s="181"/>
      <c r="J259" s="181"/>
      <c r="K259" s="181"/>
    </row>
    <row r="260" spans="1:11" x14ac:dyDescent="0.35">
      <c r="B260" s="15" t="s">
        <v>160</v>
      </c>
      <c r="F260" s="45"/>
      <c r="G260" s="145"/>
      <c r="H260" s="145"/>
      <c r="I260" s="145"/>
      <c r="J260" s="145"/>
      <c r="K260" s="145"/>
    </row>
    <row r="261" spans="1:11" x14ac:dyDescent="0.35">
      <c r="B261" s="15" t="s">
        <v>19</v>
      </c>
      <c r="F261" s="45"/>
      <c r="G261" s="145"/>
      <c r="H261" s="145"/>
      <c r="I261" s="145"/>
      <c r="J261" s="145"/>
      <c r="K261" s="145"/>
    </row>
    <row r="262" spans="1:11" x14ac:dyDescent="0.35">
      <c r="B262" s="10" t="s">
        <v>28</v>
      </c>
      <c r="C262" s="10"/>
      <c r="D262" s="10"/>
      <c r="E262" s="10"/>
      <c r="F262" s="26"/>
      <c r="G262" s="148"/>
      <c r="H262" s="148"/>
      <c r="I262" s="148"/>
      <c r="J262" s="148"/>
      <c r="K262" s="148"/>
    </row>
    <row r="263" spans="1:11" s="42" customFormat="1" ht="13.15" x14ac:dyDescent="0.4">
      <c r="A263" s="15"/>
      <c r="B263" s="42" t="s">
        <v>20</v>
      </c>
      <c r="F263" s="70"/>
      <c r="G263" s="182"/>
      <c r="H263" s="182"/>
      <c r="I263" s="182"/>
      <c r="J263" s="182"/>
      <c r="K263" s="182"/>
    </row>
    <row r="264" spans="1:11" x14ac:dyDescent="0.35">
      <c r="B264" s="10" t="s">
        <v>144</v>
      </c>
      <c r="C264" s="10"/>
      <c r="D264" s="10"/>
      <c r="E264" s="10"/>
      <c r="F264" s="26"/>
      <c r="G264" s="148"/>
      <c r="H264" s="148"/>
      <c r="I264" s="148"/>
      <c r="J264" s="148"/>
      <c r="K264" s="148"/>
    </row>
    <row r="265" spans="1:11" s="42" customFormat="1" ht="13.15" x14ac:dyDescent="0.4">
      <c r="A265" s="15"/>
      <c r="B265" s="42" t="s">
        <v>143</v>
      </c>
      <c r="F265" s="70"/>
      <c r="G265" s="138"/>
      <c r="H265" s="138"/>
      <c r="I265" s="138"/>
      <c r="J265" s="138"/>
      <c r="K265" s="138"/>
    </row>
    <row r="266" spans="1:11" x14ac:dyDescent="0.35">
      <c r="F266" s="45"/>
      <c r="G266" s="45"/>
      <c r="H266" s="45"/>
      <c r="I266" s="45"/>
      <c r="J266" s="45"/>
      <c r="K266" s="45"/>
    </row>
    <row r="267" spans="1:11" ht="13.15" x14ac:dyDescent="0.4">
      <c r="B267" s="34" t="s">
        <v>152</v>
      </c>
      <c r="C267" s="34"/>
      <c r="D267" s="34"/>
      <c r="E267" s="34"/>
      <c r="F267" s="34"/>
      <c r="G267" s="34"/>
      <c r="H267" s="34"/>
      <c r="I267" s="34"/>
      <c r="J267" s="34"/>
      <c r="K267" s="34"/>
    </row>
    <row r="269" spans="1:11" ht="13.15" x14ac:dyDescent="0.4">
      <c r="B269" s="19" t="s">
        <v>123</v>
      </c>
      <c r="C269" s="19"/>
      <c r="D269" s="19"/>
      <c r="E269" s="19"/>
      <c r="F269" s="20">
        <v>2020</v>
      </c>
      <c r="G269" s="24">
        <f>+F269+1</f>
        <v>2021</v>
      </c>
      <c r="H269" s="24">
        <f>+G269+1</f>
        <v>2022</v>
      </c>
      <c r="I269" s="24">
        <f>+H269+1</f>
        <v>2023</v>
      </c>
      <c r="J269" s="24">
        <f>+I269+1</f>
        <v>2024</v>
      </c>
      <c r="K269" s="24">
        <f>+J269+1</f>
        <v>2025</v>
      </c>
    </row>
    <row r="271" spans="1:11" ht="13.15" x14ac:dyDescent="0.4">
      <c r="B271" s="42" t="s">
        <v>124</v>
      </c>
      <c r="C271" s="42"/>
      <c r="D271" s="42"/>
      <c r="E271" s="42"/>
      <c r="F271" s="42"/>
      <c r="G271" s="138"/>
      <c r="H271" s="138"/>
      <c r="I271" s="138"/>
      <c r="J271" s="138"/>
      <c r="K271" s="138"/>
    </row>
    <row r="272" spans="1:11" x14ac:dyDescent="0.35">
      <c r="B272" s="10" t="s">
        <v>125</v>
      </c>
      <c r="C272" s="10"/>
      <c r="D272" s="10"/>
      <c r="E272" s="10"/>
      <c r="F272" s="10"/>
      <c r="G272" s="137"/>
      <c r="H272" s="183"/>
      <c r="I272" s="183"/>
      <c r="J272" s="183"/>
      <c r="K272" s="183"/>
    </row>
    <row r="273" spans="2:12" ht="13.15" x14ac:dyDescent="0.4">
      <c r="B273" s="42" t="s">
        <v>126</v>
      </c>
      <c r="C273" s="42"/>
      <c r="D273" s="42"/>
      <c r="E273" s="42"/>
      <c r="F273" s="42"/>
      <c r="G273" s="138"/>
      <c r="H273" s="138"/>
      <c r="I273" s="138"/>
      <c r="J273" s="138"/>
      <c r="K273" s="138"/>
    </row>
    <row r="274" spans="2:12" x14ac:dyDescent="0.35">
      <c r="B274" s="10" t="s">
        <v>145</v>
      </c>
      <c r="C274" s="10"/>
      <c r="D274" s="10"/>
      <c r="E274" s="10"/>
      <c r="F274" s="10"/>
      <c r="G274" s="148"/>
      <c r="H274" s="148"/>
      <c r="I274" s="148"/>
      <c r="J274" s="148"/>
      <c r="K274" s="148"/>
    </row>
    <row r="275" spans="2:12" ht="13.15" x14ac:dyDescent="0.4">
      <c r="B275" s="42" t="s">
        <v>127</v>
      </c>
      <c r="C275" s="42"/>
      <c r="D275" s="42"/>
      <c r="E275" s="42"/>
      <c r="F275" s="42"/>
      <c r="G275" s="138"/>
      <c r="H275" s="138"/>
      <c r="I275" s="138"/>
      <c r="J275" s="138"/>
      <c r="K275" s="138"/>
    </row>
    <row r="276" spans="2:12" x14ac:dyDescent="0.35">
      <c r="B276" s="4" t="s">
        <v>156</v>
      </c>
      <c r="C276" s="4"/>
      <c r="D276" s="4"/>
      <c r="E276" s="4"/>
      <c r="F276" s="4"/>
      <c r="G276" s="184"/>
      <c r="H276" s="184"/>
      <c r="I276" s="184"/>
      <c r="J276" s="184"/>
      <c r="K276" s="184"/>
    </row>
    <row r="277" spans="2:12" ht="13.15" x14ac:dyDescent="0.4">
      <c r="B277" s="42" t="s">
        <v>163</v>
      </c>
      <c r="C277" s="42"/>
      <c r="D277" s="42"/>
      <c r="E277" s="42"/>
      <c r="F277" s="42"/>
      <c r="G277" s="138"/>
      <c r="H277" s="138"/>
      <c r="I277" s="138"/>
      <c r="J277" s="138"/>
      <c r="K277" s="138"/>
    </row>
    <row r="278" spans="2:12" x14ac:dyDescent="0.35">
      <c r="B278" s="10" t="s">
        <v>164</v>
      </c>
      <c r="C278" s="10"/>
      <c r="D278" s="10"/>
      <c r="E278" s="10"/>
      <c r="F278" s="10"/>
      <c r="G278" s="148"/>
      <c r="H278" s="148"/>
      <c r="I278" s="148"/>
      <c r="J278" s="148"/>
      <c r="K278" s="148"/>
    </row>
    <row r="279" spans="2:12" ht="13.15" x14ac:dyDescent="0.4">
      <c r="B279" s="42" t="s">
        <v>165</v>
      </c>
      <c r="C279" s="42"/>
      <c r="D279" s="42"/>
      <c r="E279" s="42"/>
      <c r="F279" s="42"/>
      <c r="G279" s="138"/>
      <c r="H279" s="138"/>
      <c r="I279" s="138"/>
      <c r="J279" s="138"/>
      <c r="K279" s="138"/>
    </row>
    <row r="281" spans="2:12" ht="13.15" x14ac:dyDescent="0.4">
      <c r="B281" s="121" t="s">
        <v>128</v>
      </c>
      <c r="C281" s="121"/>
      <c r="D281" s="121"/>
      <c r="E281" s="121"/>
      <c r="F281" s="122">
        <v>0</v>
      </c>
      <c r="G281" s="122">
        <f>+F281+1</f>
        <v>1</v>
      </c>
      <c r="H281" s="122">
        <f>+G281+1</f>
        <v>2</v>
      </c>
      <c r="I281" s="122">
        <f>+H281+1</f>
        <v>3</v>
      </c>
      <c r="J281" s="122">
        <f>+I281+1</f>
        <v>4</v>
      </c>
      <c r="K281" s="122">
        <f>+J281+1</f>
        <v>5</v>
      </c>
    </row>
    <row r="282" spans="2:12" x14ac:dyDescent="0.35">
      <c r="B282" s="51"/>
      <c r="C282" s="51"/>
      <c r="D282" s="51"/>
      <c r="E282" s="51"/>
      <c r="F282" s="46">
        <v>44196</v>
      </c>
      <c r="G282" s="46">
        <f>+EOMONTH(F282,12)</f>
        <v>44561</v>
      </c>
      <c r="H282" s="46">
        <f>+EOMONTH(G282,12)</f>
        <v>44926</v>
      </c>
      <c r="I282" s="46">
        <f>+EOMONTH(H282,12)</f>
        <v>45291</v>
      </c>
      <c r="J282" s="46">
        <f>+EOMONTH(I282,12)</f>
        <v>45657</v>
      </c>
      <c r="K282" s="46">
        <f>+EOMONTH(J282,12)</f>
        <v>46022</v>
      </c>
    </row>
    <row r="283" spans="2:12" x14ac:dyDescent="0.35">
      <c r="B283" s="209">
        <v>2021</v>
      </c>
      <c r="C283" s="209"/>
      <c r="D283" s="68"/>
      <c r="E283" s="68"/>
      <c r="F283" s="185"/>
      <c r="G283" s="185"/>
      <c r="H283" s="185"/>
      <c r="I283" s="185"/>
      <c r="J283" s="185"/>
      <c r="K283" s="185"/>
      <c r="L283" s="69"/>
    </row>
    <row r="284" spans="2:12" x14ac:dyDescent="0.35">
      <c r="B284" s="209">
        <f>+B283+1</f>
        <v>2022</v>
      </c>
      <c r="C284" s="209"/>
      <c r="D284" s="68"/>
      <c r="E284" s="68"/>
      <c r="F284" s="185"/>
      <c r="G284" s="185"/>
      <c r="H284" s="185"/>
      <c r="I284" s="185"/>
      <c r="J284" s="185"/>
      <c r="K284" s="185"/>
      <c r="L284" s="69"/>
    </row>
    <row r="285" spans="2:12" x14ac:dyDescent="0.35">
      <c r="B285" s="209">
        <f>+B284+1</f>
        <v>2023</v>
      </c>
      <c r="C285" s="209"/>
      <c r="D285" s="68"/>
      <c r="E285" s="68"/>
      <c r="F285" s="185"/>
      <c r="G285" s="185"/>
      <c r="H285" s="185"/>
      <c r="I285" s="185"/>
      <c r="J285" s="185"/>
      <c r="K285" s="185"/>
      <c r="L285" s="69"/>
    </row>
    <row r="286" spans="2:12" x14ac:dyDescent="0.35">
      <c r="B286" s="209">
        <f>+B285+1</f>
        <v>2024</v>
      </c>
      <c r="C286" s="209"/>
      <c r="D286" s="68"/>
      <c r="E286" s="68"/>
      <c r="F286" s="185"/>
      <c r="G286" s="185"/>
      <c r="H286" s="185"/>
      <c r="I286" s="185"/>
      <c r="J286" s="185"/>
      <c r="K286" s="185"/>
      <c r="L286" s="69"/>
    </row>
    <row r="287" spans="2:12" x14ac:dyDescent="0.35">
      <c r="B287" s="209">
        <f>+B286+1</f>
        <v>2025</v>
      </c>
      <c r="C287" s="209"/>
      <c r="D287" s="68"/>
      <c r="E287" s="68"/>
      <c r="F287" s="185"/>
      <c r="G287" s="185"/>
      <c r="H287" s="185"/>
      <c r="I287" s="185"/>
      <c r="J287" s="185"/>
      <c r="K287" s="185"/>
      <c r="L287" s="69"/>
    </row>
    <row r="289" spans="2:11" ht="13.15" x14ac:dyDescent="0.4">
      <c r="B289" s="5" t="s">
        <v>129</v>
      </c>
      <c r="C289" s="6"/>
      <c r="D289" s="6"/>
      <c r="E289" s="6"/>
      <c r="F289" s="6"/>
      <c r="G289" s="134"/>
      <c r="H289" s="134"/>
      <c r="I289" s="134"/>
      <c r="J289" s="134"/>
      <c r="K289" s="135"/>
    </row>
    <row r="290" spans="2:11" ht="13.15" x14ac:dyDescent="0.4">
      <c r="B290" s="7" t="s">
        <v>130</v>
      </c>
      <c r="C290" s="8"/>
      <c r="D290" s="8"/>
      <c r="E290" s="8"/>
      <c r="F290" s="8"/>
      <c r="G290" s="124"/>
      <c r="H290" s="124"/>
      <c r="I290" s="124"/>
      <c r="J290" s="124"/>
      <c r="K290" s="125"/>
    </row>
    <row r="292" spans="2:11" ht="13.15" x14ac:dyDescent="0.4">
      <c r="B292" s="34" t="s">
        <v>157</v>
      </c>
      <c r="C292" s="34"/>
      <c r="D292" s="34"/>
      <c r="E292" s="34"/>
      <c r="F292" s="34"/>
      <c r="G292" s="34"/>
      <c r="H292" s="34"/>
      <c r="I292" s="34"/>
      <c r="J292" s="34"/>
      <c r="K292" s="34"/>
    </row>
    <row r="294" spans="2:11" ht="13.15" x14ac:dyDescent="0.4">
      <c r="D294" s="118" t="s">
        <v>182</v>
      </c>
      <c r="E294" s="119"/>
      <c r="F294" s="119"/>
      <c r="G294" s="119"/>
      <c r="H294" s="119"/>
      <c r="I294" s="119"/>
      <c r="J294" s="120"/>
    </row>
    <row r="296" spans="2:11" ht="13.15" x14ac:dyDescent="0.4">
      <c r="D296" s="34" t="s">
        <v>181</v>
      </c>
      <c r="E296" s="27"/>
      <c r="F296" s="27"/>
      <c r="G296" s="27"/>
      <c r="H296" s="27"/>
      <c r="I296" s="27"/>
      <c r="J296" s="27"/>
    </row>
    <row r="297" spans="2:11" x14ac:dyDescent="0.35">
      <c r="C297" s="186"/>
      <c r="D297" s="188"/>
      <c r="E297" s="188"/>
      <c r="F297" s="188"/>
      <c r="G297" s="189"/>
      <c r="H297" s="188"/>
      <c r="I297" s="188"/>
      <c r="J297" s="188"/>
    </row>
    <row r="298" spans="2:11" x14ac:dyDescent="0.35">
      <c r="C298" s="188"/>
      <c r="D298" s="200"/>
      <c r="E298" s="201"/>
      <c r="F298" s="201"/>
      <c r="G298" s="201"/>
      <c r="H298" s="201"/>
      <c r="I298" s="201"/>
      <c r="J298" s="202"/>
    </row>
    <row r="299" spans="2:11" x14ac:dyDescent="0.35">
      <c r="C299" s="188"/>
      <c r="D299" s="203"/>
      <c r="E299" s="204"/>
      <c r="F299" s="204"/>
      <c r="G299" s="204"/>
      <c r="H299" s="204"/>
      <c r="I299" s="204"/>
      <c r="J299" s="205"/>
    </row>
    <row r="300" spans="2:11" ht="13.15" x14ac:dyDescent="0.4">
      <c r="B300" s="50" t="s">
        <v>179</v>
      </c>
      <c r="C300" s="188"/>
      <c r="D300" s="203"/>
      <c r="E300" s="204"/>
      <c r="F300" s="204"/>
      <c r="G300" s="204"/>
      <c r="H300" s="204"/>
      <c r="I300" s="204"/>
      <c r="J300" s="205"/>
    </row>
    <row r="301" spans="2:11" ht="13.15" x14ac:dyDescent="0.4">
      <c r="B301" s="50" t="s">
        <v>180</v>
      </c>
      <c r="C301" s="189"/>
      <c r="D301" s="203"/>
      <c r="E301" s="204"/>
      <c r="F301" s="204"/>
      <c r="G301" s="204"/>
      <c r="H301" s="204"/>
      <c r="I301" s="204"/>
      <c r="J301" s="205"/>
    </row>
    <row r="302" spans="2:11" x14ac:dyDescent="0.35">
      <c r="C302" s="188"/>
      <c r="D302" s="203"/>
      <c r="E302" s="204"/>
      <c r="F302" s="204"/>
      <c r="G302" s="204"/>
      <c r="H302" s="204"/>
      <c r="I302" s="204"/>
      <c r="J302" s="205"/>
    </row>
    <row r="303" spans="2:11" x14ac:dyDescent="0.35">
      <c r="C303" s="188"/>
      <c r="D303" s="203"/>
      <c r="E303" s="204"/>
      <c r="F303" s="204"/>
      <c r="G303" s="204"/>
      <c r="H303" s="204"/>
      <c r="I303" s="204"/>
      <c r="J303" s="205"/>
    </row>
    <row r="304" spans="2:11" x14ac:dyDescent="0.35">
      <c r="C304" s="188"/>
      <c r="D304" s="206"/>
      <c r="E304" s="207"/>
      <c r="F304" s="207"/>
      <c r="G304" s="207"/>
      <c r="H304" s="207"/>
      <c r="I304" s="207"/>
      <c r="J304" s="208"/>
    </row>
    <row r="306" spans="2:10" ht="13.15" x14ac:dyDescent="0.4">
      <c r="D306" s="118" t="s">
        <v>183</v>
      </c>
      <c r="E306" s="119"/>
      <c r="F306" s="119"/>
      <c r="G306" s="119"/>
      <c r="H306" s="119"/>
      <c r="I306" s="119"/>
      <c r="J306" s="120"/>
    </row>
    <row r="308" spans="2:10" ht="13.15" x14ac:dyDescent="0.4">
      <c r="D308" s="34" t="s">
        <v>181</v>
      </c>
      <c r="E308" s="27"/>
      <c r="F308" s="27"/>
      <c r="G308" s="27"/>
      <c r="H308" s="27"/>
      <c r="I308" s="27"/>
      <c r="J308" s="27"/>
    </row>
    <row r="309" spans="2:10" x14ac:dyDescent="0.35">
      <c r="C309" s="187"/>
      <c r="D309" s="188"/>
      <c r="E309" s="188"/>
      <c r="F309" s="188"/>
      <c r="G309" s="189"/>
      <c r="H309" s="188"/>
      <c r="I309" s="188"/>
      <c r="J309" s="188"/>
    </row>
    <row r="310" spans="2:10" x14ac:dyDescent="0.35">
      <c r="C310" s="188"/>
      <c r="D310" s="192"/>
      <c r="E310" s="193"/>
      <c r="F310" s="193"/>
      <c r="G310" s="193"/>
      <c r="H310" s="193"/>
      <c r="I310" s="193"/>
      <c r="J310" s="194"/>
    </row>
    <row r="311" spans="2:10" x14ac:dyDescent="0.35">
      <c r="C311" s="188"/>
      <c r="D311" s="195"/>
      <c r="E311" s="188"/>
      <c r="F311" s="188"/>
      <c r="G311" s="188"/>
      <c r="H311" s="188"/>
      <c r="I311" s="188"/>
      <c r="J311" s="196"/>
    </row>
    <row r="312" spans="2:10" ht="13.15" x14ac:dyDescent="0.4">
      <c r="B312" s="50" t="s">
        <v>179</v>
      </c>
      <c r="C312" s="188"/>
      <c r="D312" s="195"/>
      <c r="E312" s="188"/>
      <c r="F312" s="188"/>
      <c r="G312" s="188"/>
      <c r="H312" s="188"/>
      <c r="I312" s="188"/>
      <c r="J312" s="196"/>
    </row>
    <row r="313" spans="2:10" ht="13.15" x14ac:dyDescent="0.4">
      <c r="B313" s="50" t="s">
        <v>180</v>
      </c>
      <c r="C313" s="189"/>
      <c r="D313" s="195"/>
      <c r="E313" s="188"/>
      <c r="F313" s="188"/>
      <c r="G313" s="188"/>
      <c r="H313" s="188"/>
      <c r="I313" s="188"/>
      <c r="J313" s="196"/>
    </row>
    <row r="314" spans="2:10" x14ac:dyDescent="0.35">
      <c r="C314" s="188"/>
      <c r="D314" s="195"/>
      <c r="E314" s="188"/>
      <c r="F314" s="188"/>
      <c r="G314" s="188"/>
      <c r="H314" s="188"/>
      <c r="I314" s="188"/>
      <c r="J314" s="196"/>
    </row>
    <row r="315" spans="2:10" x14ac:dyDescent="0.35">
      <c r="C315" s="188"/>
      <c r="D315" s="195"/>
      <c r="E315" s="188"/>
      <c r="F315" s="188"/>
      <c r="G315" s="188"/>
      <c r="H315" s="188"/>
      <c r="I315" s="188"/>
      <c r="J315" s="196"/>
    </row>
    <row r="316" spans="2:10" x14ac:dyDescent="0.35">
      <c r="C316" s="188"/>
      <c r="D316" s="197"/>
      <c r="E316" s="198"/>
      <c r="F316" s="198"/>
      <c r="G316" s="198"/>
      <c r="H316" s="198"/>
      <c r="I316" s="198"/>
      <c r="J316" s="199"/>
    </row>
  </sheetData>
  <mergeCells count="5">
    <mergeCell ref="B283:C283"/>
    <mergeCell ref="B284:C284"/>
    <mergeCell ref="B285:C285"/>
    <mergeCell ref="B286:C286"/>
    <mergeCell ref="B287:C287"/>
  </mergeCells>
  <conditionalFormatting sqref="F283:K287">
    <cfRule type="cellIs" dxfId="7" priority="5" operator="lessThan">
      <formula>0</formula>
    </cfRule>
    <cfRule type="cellIs" dxfId="6" priority="6" operator="greater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08FF6-664B-4438-8F8D-0390430F207A}">
  <dimension ref="A3:L316"/>
  <sheetViews>
    <sheetView showGridLines="0" zoomScaleNormal="100" workbookViewId="0"/>
  </sheetViews>
  <sheetFormatPr defaultColWidth="9.06640625" defaultRowHeight="12.75" x14ac:dyDescent="0.35"/>
  <cols>
    <col min="1" max="1" width="1.53125" style="15" bestFit="1" customWidth="1"/>
    <col min="2" max="2" width="10.06640625" style="15" customWidth="1"/>
    <col min="3" max="12" width="9.1328125" style="15" customWidth="1"/>
    <col min="13" max="16384" width="9.06640625" style="15"/>
  </cols>
  <sheetData>
    <row r="3" spans="2:11" ht="13.15" x14ac:dyDescent="0.4">
      <c r="B3" s="9" t="s">
        <v>0</v>
      </c>
      <c r="C3" s="9"/>
      <c r="D3" s="9"/>
      <c r="E3" s="9"/>
      <c r="F3" s="9"/>
      <c r="G3" s="9"/>
      <c r="H3" s="9"/>
      <c r="I3" s="9"/>
      <c r="J3" s="9"/>
      <c r="K3" s="9"/>
    </row>
    <row r="4" spans="2:11" x14ac:dyDescent="0.35">
      <c r="B4" s="37" t="s">
        <v>189</v>
      </c>
      <c r="C4" s="37"/>
      <c r="D4" s="37"/>
      <c r="E4" s="37"/>
    </row>
    <row r="5" spans="2:11" ht="13.15" x14ac:dyDescent="0.4">
      <c r="B5" s="34" t="s">
        <v>1</v>
      </c>
      <c r="C5" s="34"/>
      <c r="D5" s="34"/>
      <c r="E5" s="34"/>
      <c r="F5" s="27"/>
      <c r="G5" s="27"/>
      <c r="H5" s="27"/>
      <c r="I5" s="27"/>
      <c r="J5" s="27"/>
      <c r="K5" s="27"/>
    </row>
    <row r="7" spans="2:11" ht="13.15" x14ac:dyDescent="0.4">
      <c r="B7" s="19" t="s">
        <v>2</v>
      </c>
      <c r="C7" s="19"/>
      <c r="D7" s="19"/>
      <c r="E7" s="19"/>
      <c r="G7" s="19" t="s">
        <v>6</v>
      </c>
      <c r="H7" s="19"/>
      <c r="I7" s="19"/>
      <c r="J7" s="19"/>
      <c r="K7" s="19"/>
    </row>
    <row r="8" spans="2:11" x14ac:dyDescent="0.35">
      <c r="B8" s="15" t="s">
        <v>3</v>
      </c>
      <c r="E8" s="73">
        <f>+F100</f>
        <v>50</v>
      </c>
      <c r="G8" s="15" t="s">
        <v>7</v>
      </c>
      <c r="K8" s="75">
        <v>10</v>
      </c>
    </row>
    <row r="9" spans="2:11" x14ac:dyDescent="0.35">
      <c r="B9" s="10" t="s">
        <v>4</v>
      </c>
      <c r="C9" s="10"/>
      <c r="D9" s="10"/>
      <c r="E9" s="1">
        <v>12.5</v>
      </c>
      <c r="G9" s="15" t="s">
        <v>9</v>
      </c>
      <c r="K9" s="83">
        <v>5</v>
      </c>
    </row>
    <row r="10" spans="2:11" ht="13.15" x14ac:dyDescent="0.4">
      <c r="B10" s="42" t="s">
        <v>5</v>
      </c>
      <c r="C10" s="42"/>
      <c r="D10" s="42"/>
      <c r="E10" s="74">
        <f>+E8*E9</f>
        <v>625</v>
      </c>
      <c r="G10" s="15" t="s">
        <v>33</v>
      </c>
      <c r="K10" s="33">
        <v>0.2</v>
      </c>
    </row>
    <row r="11" spans="2:11" x14ac:dyDescent="0.35">
      <c r="G11" s="15" t="s">
        <v>166</v>
      </c>
      <c r="K11" s="32">
        <v>7</v>
      </c>
    </row>
    <row r="12" spans="2:11" x14ac:dyDescent="0.35">
      <c r="G12" s="15" t="s">
        <v>10</v>
      </c>
      <c r="K12" s="76">
        <v>0.35</v>
      </c>
    </row>
    <row r="14" spans="2:11" x14ac:dyDescent="0.35">
      <c r="G14" s="15" t="s">
        <v>184</v>
      </c>
      <c r="K14" s="2">
        <v>1</v>
      </c>
    </row>
    <row r="16" spans="2:11" ht="13.15" x14ac:dyDescent="0.4">
      <c r="B16" s="19" t="s">
        <v>11</v>
      </c>
      <c r="C16" s="19"/>
      <c r="D16" s="19"/>
      <c r="E16" s="19"/>
      <c r="F16" s="71"/>
      <c r="G16" s="71"/>
      <c r="H16" s="71"/>
      <c r="I16" s="71"/>
      <c r="J16" s="71"/>
      <c r="K16" s="71"/>
    </row>
    <row r="17" spans="2:11" ht="13.15" x14ac:dyDescent="0.4">
      <c r="B17" s="16" t="s">
        <v>12</v>
      </c>
      <c r="C17" s="16"/>
      <c r="E17" s="17" t="s">
        <v>13</v>
      </c>
      <c r="F17" s="17" t="s">
        <v>14</v>
      </c>
      <c r="G17" s="17" t="s">
        <v>15</v>
      </c>
      <c r="H17" s="17" t="s">
        <v>16</v>
      </c>
      <c r="I17" s="25" t="s">
        <v>17</v>
      </c>
      <c r="J17" s="17" t="s">
        <v>21</v>
      </c>
      <c r="K17" s="17" t="s">
        <v>22</v>
      </c>
    </row>
    <row r="18" spans="2:11" x14ac:dyDescent="0.35">
      <c r="B18" s="15" t="s">
        <v>18</v>
      </c>
      <c r="E18" s="28">
        <v>0</v>
      </c>
      <c r="F18" s="72">
        <f>+E18*$E$8</f>
        <v>0</v>
      </c>
      <c r="G18" s="48">
        <v>400</v>
      </c>
      <c r="H18" s="33">
        <v>0</v>
      </c>
      <c r="I18" s="33">
        <v>0</v>
      </c>
      <c r="J18" s="86">
        <v>0</v>
      </c>
      <c r="K18" s="72">
        <f>+J18*F18</f>
        <v>0</v>
      </c>
    </row>
    <row r="19" spans="2:11" x14ac:dyDescent="0.35">
      <c r="B19" s="15" t="s">
        <v>160</v>
      </c>
      <c r="E19" s="28">
        <v>3.5</v>
      </c>
      <c r="F19" s="72">
        <f>+E19*$E$8</f>
        <v>175</v>
      </c>
      <c r="G19" s="48">
        <v>400</v>
      </c>
      <c r="H19" s="33">
        <v>0.02</v>
      </c>
      <c r="I19" s="33">
        <v>0.05</v>
      </c>
      <c r="J19" s="86">
        <v>2.5000000000000001E-2</v>
      </c>
      <c r="K19" s="72">
        <f>+J19*F19</f>
        <v>4.375</v>
      </c>
    </row>
    <row r="20" spans="2:11" x14ac:dyDescent="0.35">
      <c r="B20" s="15" t="s">
        <v>19</v>
      </c>
      <c r="E20" s="28">
        <v>1.5</v>
      </c>
      <c r="F20" s="72">
        <f>+E20*$E$8</f>
        <v>75</v>
      </c>
      <c r="G20" s="33">
        <v>7.0000000000000007E-2</v>
      </c>
      <c r="H20" s="33">
        <v>0</v>
      </c>
      <c r="I20" s="33">
        <v>0</v>
      </c>
      <c r="J20" s="86">
        <v>2.5000000000000001E-2</v>
      </c>
      <c r="K20" s="72">
        <f>+J20*F20</f>
        <v>1.875</v>
      </c>
    </row>
    <row r="21" spans="2:11" x14ac:dyDescent="0.35">
      <c r="B21" s="10" t="s">
        <v>28</v>
      </c>
      <c r="C21" s="10"/>
      <c r="D21" s="10"/>
      <c r="E21" s="1">
        <v>1</v>
      </c>
      <c r="F21" s="78">
        <f>+E21*$E$8</f>
        <v>50</v>
      </c>
      <c r="G21" s="3">
        <v>0.125</v>
      </c>
      <c r="H21" s="3">
        <v>0</v>
      </c>
      <c r="I21" s="3">
        <v>0</v>
      </c>
      <c r="J21" s="87">
        <v>2.5000000000000001E-2</v>
      </c>
      <c r="K21" s="78">
        <f>+J21*F21</f>
        <v>1.25</v>
      </c>
    </row>
    <row r="22" spans="2:11" ht="13.15" x14ac:dyDescent="0.4">
      <c r="B22" s="42" t="s">
        <v>20</v>
      </c>
      <c r="C22" s="42"/>
      <c r="E22" s="30">
        <f>SUM(E18:E21)</f>
        <v>6</v>
      </c>
      <c r="F22" s="49">
        <f>SUM(F18:F21)</f>
        <v>300</v>
      </c>
      <c r="G22" s="50"/>
      <c r="H22" s="50"/>
      <c r="J22" s="42"/>
      <c r="K22" s="74">
        <f>SUM(K18:K21)</f>
        <v>7.5</v>
      </c>
    </row>
    <row r="24" spans="2:11" ht="13.15" x14ac:dyDescent="0.4">
      <c r="B24" s="34" t="s">
        <v>23</v>
      </c>
      <c r="C24" s="34"/>
      <c r="D24" s="34"/>
      <c r="E24" s="34"/>
      <c r="F24" s="34"/>
      <c r="G24" s="34"/>
      <c r="H24" s="34"/>
      <c r="I24" s="34"/>
      <c r="J24" s="34"/>
      <c r="K24" s="34"/>
    </row>
    <row r="26" spans="2:11" ht="13.15" x14ac:dyDescent="0.4">
      <c r="B26" s="19" t="s">
        <v>24</v>
      </c>
      <c r="C26" s="19"/>
      <c r="D26" s="19"/>
      <c r="E26" s="19"/>
      <c r="F26" s="19"/>
      <c r="G26" s="19"/>
      <c r="H26" s="19"/>
      <c r="I26" s="19"/>
      <c r="J26" s="19"/>
      <c r="K26" s="19"/>
    </row>
    <row r="27" spans="2:11" ht="13.15" x14ac:dyDescent="0.4">
      <c r="B27" s="16" t="s">
        <v>27</v>
      </c>
      <c r="C27" s="16"/>
      <c r="D27" s="16"/>
      <c r="E27" s="16"/>
      <c r="F27" s="17" t="s">
        <v>14</v>
      </c>
      <c r="H27" s="18" t="s">
        <v>25</v>
      </c>
      <c r="I27" s="51"/>
      <c r="J27" s="51"/>
      <c r="K27" s="17" t="s">
        <v>14</v>
      </c>
    </row>
    <row r="28" spans="2:11" x14ac:dyDescent="0.35">
      <c r="B28" s="15" t="s">
        <v>18</v>
      </c>
      <c r="F28" s="73">
        <f>+F18</f>
        <v>0</v>
      </c>
      <c r="H28" s="15" t="s">
        <v>5</v>
      </c>
      <c r="K28" s="73">
        <f>+E10</f>
        <v>625</v>
      </c>
    </row>
    <row r="29" spans="2:11" x14ac:dyDescent="0.35">
      <c r="B29" s="15" t="s">
        <v>160</v>
      </c>
      <c r="F29" s="72">
        <f>+F19</f>
        <v>175</v>
      </c>
      <c r="H29" s="15" t="s">
        <v>9</v>
      </c>
      <c r="K29" s="72">
        <f>+K9</f>
        <v>5</v>
      </c>
    </row>
    <row r="30" spans="2:11" x14ac:dyDescent="0.35">
      <c r="B30" s="15" t="s">
        <v>19</v>
      </c>
      <c r="F30" s="72">
        <f>+F20</f>
        <v>75</v>
      </c>
      <c r="H30" s="15" t="s">
        <v>7</v>
      </c>
      <c r="K30" s="72">
        <f>+K8</f>
        <v>10</v>
      </c>
    </row>
    <row r="31" spans="2:11" x14ac:dyDescent="0.35">
      <c r="B31" s="10" t="s">
        <v>28</v>
      </c>
      <c r="C31" s="10"/>
      <c r="D31" s="10"/>
      <c r="E31" s="10"/>
      <c r="F31" s="78">
        <f>+F21</f>
        <v>50</v>
      </c>
      <c r="H31" s="10" t="s">
        <v>8</v>
      </c>
      <c r="I31" s="10"/>
      <c r="J31" s="10"/>
      <c r="K31" s="78">
        <f>+K22</f>
        <v>7.5</v>
      </c>
    </row>
    <row r="32" spans="2:11" ht="13.15" x14ac:dyDescent="0.4">
      <c r="B32" s="42" t="s">
        <v>20</v>
      </c>
      <c r="C32" s="42"/>
      <c r="D32" s="42"/>
      <c r="E32" s="42"/>
      <c r="F32" s="74">
        <f>SUM(F28:F31)</f>
        <v>300</v>
      </c>
      <c r="H32" s="126" t="s">
        <v>26</v>
      </c>
      <c r="I32" s="127"/>
      <c r="J32" s="127"/>
      <c r="K32" s="128">
        <f>SUM(K28:K31)</f>
        <v>647.5</v>
      </c>
    </row>
    <row r="33" spans="2:11" x14ac:dyDescent="0.35">
      <c r="B33" s="15" t="s">
        <v>29</v>
      </c>
      <c r="F33" s="72">
        <f>+K10*F35</f>
        <v>69.5</v>
      </c>
    </row>
    <row r="34" spans="2:11" x14ac:dyDescent="0.35">
      <c r="B34" s="10" t="s">
        <v>30</v>
      </c>
      <c r="C34" s="10"/>
      <c r="D34" s="10"/>
      <c r="E34" s="10"/>
      <c r="F34" s="78">
        <f>+F35-F33</f>
        <v>278</v>
      </c>
    </row>
    <row r="35" spans="2:11" ht="13.15" x14ac:dyDescent="0.4">
      <c r="B35" s="42" t="s">
        <v>34</v>
      </c>
      <c r="C35" s="42"/>
      <c r="D35" s="42"/>
      <c r="E35" s="42"/>
      <c r="F35" s="74">
        <f>+K32-F32</f>
        <v>347.5</v>
      </c>
    </row>
    <row r="36" spans="2:11" x14ac:dyDescent="0.35">
      <c r="B36" s="10"/>
      <c r="C36" s="10"/>
      <c r="D36" s="10"/>
      <c r="E36" s="10"/>
      <c r="F36" s="10"/>
    </row>
    <row r="37" spans="2:11" ht="13.15" x14ac:dyDescent="0.4">
      <c r="B37" s="126" t="s">
        <v>31</v>
      </c>
      <c r="C37" s="129"/>
      <c r="D37" s="129"/>
      <c r="E37" s="129"/>
      <c r="F37" s="128">
        <f>+F32+F35</f>
        <v>647.5</v>
      </c>
      <c r="H37" s="37" t="s">
        <v>32</v>
      </c>
      <c r="K37" s="53">
        <f>F37-K32</f>
        <v>0</v>
      </c>
    </row>
    <row r="39" spans="2:11" ht="13.15" x14ac:dyDescent="0.4">
      <c r="B39" s="34" t="s">
        <v>170</v>
      </c>
      <c r="C39" s="34"/>
      <c r="D39" s="34"/>
      <c r="E39" s="34"/>
      <c r="F39" s="34"/>
      <c r="G39" s="34"/>
      <c r="H39" s="34"/>
      <c r="I39" s="34"/>
      <c r="J39" s="34"/>
      <c r="K39" s="34"/>
    </row>
    <row r="41" spans="2:11" ht="13.15" x14ac:dyDescent="0.4">
      <c r="B41" s="19" t="s">
        <v>35</v>
      </c>
      <c r="C41" s="19"/>
      <c r="D41" s="19"/>
      <c r="E41" s="19"/>
      <c r="H41" s="19" t="s">
        <v>42</v>
      </c>
      <c r="I41" s="19"/>
      <c r="J41" s="19"/>
      <c r="K41" s="19"/>
    </row>
    <row r="42" spans="2:11" x14ac:dyDescent="0.35">
      <c r="B42" s="43" t="s">
        <v>5</v>
      </c>
      <c r="C42" s="43"/>
      <c r="D42" s="43"/>
      <c r="E42" s="73">
        <f>+K28</f>
        <v>625</v>
      </c>
      <c r="H42" s="43" t="s">
        <v>174</v>
      </c>
      <c r="J42" s="43"/>
      <c r="K42" s="54">
        <v>0.1</v>
      </c>
    </row>
    <row r="43" spans="2:11" x14ac:dyDescent="0.35">
      <c r="B43" s="15" t="s">
        <v>36</v>
      </c>
      <c r="E43" s="72">
        <f>-SUM(H71,H77:H80)</f>
        <v>-100</v>
      </c>
      <c r="H43" s="43" t="s">
        <v>46</v>
      </c>
      <c r="J43" s="43"/>
      <c r="K43" s="79">
        <v>15</v>
      </c>
    </row>
    <row r="44" spans="2:11" x14ac:dyDescent="0.35">
      <c r="B44" s="11" t="s">
        <v>37</v>
      </c>
      <c r="C44" s="11"/>
      <c r="D44" s="11"/>
      <c r="E44" s="78">
        <f>+H60</f>
        <v>50</v>
      </c>
      <c r="H44" s="43" t="s">
        <v>192</v>
      </c>
      <c r="J44" s="43"/>
      <c r="K44" s="36">
        <f>-E49/K43</f>
        <v>3.2533333333333334</v>
      </c>
    </row>
    <row r="45" spans="2:11" ht="13.15" x14ac:dyDescent="0.4">
      <c r="B45" s="56" t="s">
        <v>38</v>
      </c>
      <c r="C45" s="56"/>
      <c r="D45" s="56"/>
      <c r="E45" s="74">
        <f>SUM(E42:E44)</f>
        <v>575</v>
      </c>
      <c r="H45" s="43" t="s">
        <v>43</v>
      </c>
      <c r="K45" s="36">
        <f>-E49*K12</f>
        <v>17.080000000000002</v>
      </c>
    </row>
    <row r="46" spans="2:11" x14ac:dyDescent="0.35">
      <c r="B46" s="43" t="s">
        <v>39</v>
      </c>
      <c r="C46" s="43"/>
      <c r="D46" s="43"/>
      <c r="E46" s="72">
        <f>-H85</f>
        <v>-115</v>
      </c>
      <c r="H46" s="130" t="s">
        <v>185</v>
      </c>
      <c r="K46" s="35">
        <f>+K45/K43</f>
        <v>1.1386666666666667</v>
      </c>
    </row>
    <row r="47" spans="2:11" x14ac:dyDescent="0.35">
      <c r="B47" s="11" t="s">
        <v>40</v>
      </c>
      <c r="C47" s="11"/>
      <c r="D47" s="11"/>
      <c r="E47" s="78">
        <f>H67</f>
        <v>28</v>
      </c>
    </row>
    <row r="48" spans="2:11" ht="13.15" x14ac:dyDescent="0.4">
      <c r="B48" s="56" t="s">
        <v>173</v>
      </c>
      <c r="C48" s="56"/>
      <c r="D48" s="56"/>
      <c r="E48" s="74">
        <f>SUM(E45:E47)</f>
        <v>488</v>
      </c>
      <c r="H48" s="19" t="s">
        <v>44</v>
      </c>
      <c r="I48" s="19"/>
      <c r="J48" s="19"/>
      <c r="K48" s="19"/>
    </row>
    <row r="49" spans="1:11" x14ac:dyDescent="0.35">
      <c r="B49" s="43" t="s">
        <v>194</v>
      </c>
      <c r="C49" s="43"/>
      <c r="D49" s="43"/>
      <c r="E49" s="72">
        <f>-K42*E48</f>
        <v>-48.800000000000004</v>
      </c>
      <c r="H49" s="43" t="s">
        <v>45</v>
      </c>
      <c r="K49" s="54">
        <v>0.2</v>
      </c>
    </row>
    <row r="50" spans="1:11" x14ac:dyDescent="0.35">
      <c r="B50" s="43" t="s">
        <v>195</v>
      </c>
      <c r="C50" s="43"/>
      <c r="D50" s="43"/>
      <c r="E50" s="72">
        <f>-K49*H66</f>
        <v>-16.600000000000001</v>
      </c>
      <c r="H50" s="43" t="s">
        <v>46</v>
      </c>
      <c r="K50" s="79">
        <v>10</v>
      </c>
    </row>
    <row r="51" spans="1:11" x14ac:dyDescent="0.35">
      <c r="B51" s="11" t="s">
        <v>41</v>
      </c>
      <c r="C51" s="11"/>
      <c r="D51" s="11"/>
      <c r="E51" s="78">
        <f>+K45+K52</f>
        <v>22.89</v>
      </c>
      <c r="H51" s="43" t="s">
        <v>193</v>
      </c>
      <c r="K51" s="36">
        <f>-E50/K50</f>
        <v>1.6600000000000001</v>
      </c>
    </row>
    <row r="52" spans="1:11" ht="13.15" x14ac:dyDescent="0.4">
      <c r="B52" s="56" t="s">
        <v>186</v>
      </c>
      <c r="C52" s="56"/>
      <c r="D52" s="56"/>
      <c r="E52" s="74">
        <f>SUM(E48:E51)</f>
        <v>445.48999999999995</v>
      </c>
      <c r="H52" s="43" t="s">
        <v>43</v>
      </c>
      <c r="K52" s="36">
        <f>-E50*K12</f>
        <v>5.8100000000000005</v>
      </c>
    </row>
    <row r="53" spans="1:11" ht="13.15" x14ac:dyDescent="0.4">
      <c r="B53" s="56"/>
      <c r="C53" s="56"/>
      <c r="D53" s="56"/>
      <c r="E53" s="74"/>
      <c r="H53" s="130" t="s">
        <v>185</v>
      </c>
      <c r="K53" s="35">
        <f>+K52/K50</f>
        <v>0.58100000000000007</v>
      </c>
    </row>
    <row r="54" spans="1:11" ht="13.15" x14ac:dyDescent="0.4">
      <c r="B54" s="56"/>
      <c r="C54" s="56"/>
      <c r="D54" s="56"/>
      <c r="E54" s="74"/>
    </row>
    <row r="55" spans="1:11" ht="13.15" x14ac:dyDescent="0.4">
      <c r="B55" s="34" t="s">
        <v>171</v>
      </c>
      <c r="C55" s="34"/>
      <c r="D55" s="34"/>
      <c r="E55" s="34"/>
      <c r="F55" s="34"/>
      <c r="G55" s="34"/>
      <c r="H55" s="34"/>
      <c r="I55" s="34"/>
      <c r="J55" s="34"/>
      <c r="K55" s="34"/>
    </row>
    <row r="57" spans="1:11" ht="13.15" x14ac:dyDescent="0.4">
      <c r="B57" s="19" t="s">
        <v>187</v>
      </c>
      <c r="C57" s="19"/>
      <c r="D57" s="19"/>
      <c r="E57" s="19"/>
      <c r="F57" s="19"/>
      <c r="G57" s="19"/>
      <c r="H57" s="20">
        <v>2020</v>
      </c>
      <c r="I57" s="21" t="s">
        <v>47</v>
      </c>
      <c r="J57" s="22"/>
      <c r="K57" s="23">
        <v>2020</v>
      </c>
    </row>
    <row r="58" spans="1:11" ht="13.15" x14ac:dyDescent="0.4">
      <c r="I58" s="57" t="s">
        <v>48</v>
      </c>
      <c r="J58" s="57" t="s">
        <v>49</v>
      </c>
    </row>
    <row r="59" spans="1:11" x14ac:dyDescent="0.35">
      <c r="I59" s="58"/>
      <c r="J59" s="58"/>
    </row>
    <row r="60" spans="1:11" x14ac:dyDescent="0.35">
      <c r="B60" s="15" t="s">
        <v>50</v>
      </c>
      <c r="H60" s="75">
        <v>50</v>
      </c>
      <c r="I60" s="59">
        <f>+K29</f>
        <v>5</v>
      </c>
      <c r="J60" s="59">
        <f>-H60</f>
        <v>-50</v>
      </c>
      <c r="K60" s="73">
        <f>+SUM(H60:J60)</f>
        <v>5</v>
      </c>
    </row>
    <row r="61" spans="1:11" x14ac:dyDescent="0.35">
      <c r="B61" s="15" t="s">
        <v>51</v>
      </c>
      <c r="H61" s="83">
        <v>30</v>
      </c>
      <c r="I61" s="59"/>
      <c r="J61" s="59"/>
      <c r="K61" s="72">
        <f>+SUM(H61:J61)</f>
        <v>30</v>
      </c>
    </row>
    <row r="62" spans="1:11" x14ac:dyDescent="0.35">
      <c r="B62" s="15" t="s">
        <v>52</v>
      </c>
      <c r="H62" s="83">
        <v>75</v>
      </c>
      <c r="I62" s="59"/>
      <c r="J62" s="59"/>
      <c r="K62" s="72">
        <f>+SUM(H62:J62)</f>
        <v>75</v>
      </c>
    </row>
    <row r="63" spans="1:11" x14ac:dyDescent="0.35">
      <c r="B63" s="10" t="s">
        <v>53</v>
      </c>
      <c r="C63" s="10"/>
      <c r="D63" s="10"/>
      <c r="E63" s="10"/>
      <c r="F63" s="10"/>
      <c r="G63" s="10"/>
      <c r="H63" s="82">
        <v>15</v>
      </c>
      <c r="I63" s="12"/>
      <c r="J63" s="12"/>
      <c r="K63" s="78">
        <f>+SUM(H63:J63)</f>
        <v>15</v>
      </c>
    </row>
    <row r="64" spans="1:11" s="42" customFormat="1" ht="13.15" x14ac:dyDescent="0.4">
      <c r="A64" s="15"/>
      <c r="B64" s="42" t="s">
        <v>54</v>
      </c>
      <c r="H64" s="74">
        <f>+SUM(H60:H63)</f>
        <v>170</v>
      </c>
      <c r="I64" s="60"/>
      <c r="J64" s="60"/>
      <c r="K64" s="74">
        <f>+SUM(K60:K63)</f>
        <v>125</v>
      </c>
    </row>
    <row r="65" spans="1:11" x14ac:dyDescent="0.35">
      <c r="I65" s="59"/>
      <c r="J65" s="59"/>
    </row>
    <row r="66" spans="1:11" x14ac:dyDescent="0.35">
      <c r="B66" s="15" t="s">
        <v>55</v>
      </c>
      <c r="H66" s="75">
        <v>83</v>
      </c>
      <c r="I66" s="59">
        <f>-E50</f>
        <v>16.600000000000001</v>
      </c>
      <c r="J66" s="59"/>
      <c r="K66" s="73">
        <f>+SUM(H66:J66)</f>
        <v>99.6</v>
      </c>
    </row>
    <row r="67" spans="1:11" x14ac:dyDescent="0.35">
      <c r="B67" s="15" t="s">
        <v>56</v>
      </c>
      <c r="H67" s="83">
        <v>28</v>
      </c>
      <c r="I67" s="59">
        <f>+E52</f>
        <v>445.48999999999995</v>
      </c>
      <c r="J67" s="59">
        <f>-H67</f>
        <v>-28</v>
      </c>
      <c r="K67" s="72">
        <f>+SUM(H67:J67)</f>
        <v>445.48999999999995</v>
      </c>
    </row>
    <row r="68" spans="1:11" x14ac:dyDescent="0.35">
      <c r="B68" s="15" t="s">
        <v>57</v>
      </c>
      <c r="H68" s="83">
        <v>36</v>
      </c>
      <c r="I68" s="59">
        <f>-E49</f>
        <v>48.800000000000004</v>
      </c>
      <c r="J68" s="59"/>
      <c r="K68" s="72">
        <f>+SUM(H68:J68)</f>
        <v>84.800000000000011</v>
      </c>
    </row>
    <row r="69" spans="1:11" s="42" customFormat="1" ht="13.15" x14ac:dyDescent="0.4">
      <c r="A69" s="15"/>
      <c r="B69" s="90" t="s">
        <v>58</v>
      </c>
      <c r="C69" s="90"/>
      <c r="D69" s="90"/>
      <c r="E69" s="90"/>
      <c r="F69" s="90"/>
      <c r="G69" s="90"/>
      <c r="H69" s="91">
        <f>+SUM(H64,H66:H68)</f>
        <v>317</v>
      </c>
      <c r="I69" s="94"/>
      <c r="J69" s="94"/>
      <c r="K69" s="91">
        <f>+SUM(K64,K66:K68)</f>
        <v>754.88999999999987</v>
      </c>
    </row>
    <row r="70" spans="1:11" x14ac:dyDescent="0.35">
      <c r="I70" s="59"/>
      <c r="J70" s="59"/>
    </row>
    <row r="71" spans="1:11" x14ac:dyDescent="0.35">
      <c r="B71" s="15" t="s">
        <v>18</v>
      </c>
      <c r="H71" s="75">
        <v>0</v>
      </c>
      <c r="I71" s="59"/>
      <c r="J71" s="59"/>
      <c r="K71" s="73">
        <f>+SUM(H71:J71)</f>
        <v>0</v>
      </c>
    </row>
    <row r="72" spans="1:11" x14ac:dyDescent="0.35">
      <c r="B72" s="15" t="s">
        <v>59</v>
      </c>
      <c r="H72" s="83">
        <v>55</v>
      </c>
      <c r="I72" s="59"/>
      <c r="J72" s="59"/>
      <c r="K72" s="72">
        <f>+SUM(H72:J72)</f>
        <v>55</v>
      </c>
    </row>
    <row r="73" spans="1:11" x14ac:dyDescent="0.35">
      <c r="B73" s="15" t="s">
        <v>60</v>
      </c>
      <c r="H73" s="83">
        <v>37</v>
      </c>
      <c r="I73" s="59"/>
      <c r="J73" s="59"/>
      <c r="K73" s="72">
        <f>+SUM(H73:J73)</f>
        <v>37</v>
      </c>
    </row>
    <row r="74" spans="1:11" x14ac:dyDescent="0.35">
      <c r="B74" s="10" t="s">
        <v>133</v>
      </c>
      <c r="C74" s="10"/>
      <c r="D74" s="10"/>
      <c r="E74" s="10"/>
      <c r="F74" s="10"/>
      <c r="G74" s="10"/>
      <c r="H74" s="82">
        <v>10</v>
      </c>
      <c r="I74" s="12"/>
      <c r="J74" s="12"/>
      <c r="K74" s="78">
        <f t="shared" ref="K74" si="0">+SUM(H74:J74)</f>
        <v>10</v>
      </c>
    </row>
    <row r="75" spans="1:11" s="42" customFormat="1" ht="13.15" x14ac:dyDescent="0.4">
      <c r="A75" s="15"/>
      <c r="B75" s="42" t="s">
        <v>61</v>
      </c>
      <c r="H75" s="74">
        <f>+SUM(H71:H74)</f>
        <v>102</v>
      </c>
      <c r="I75" s="60"/>
      <c r="J75" s="60"/>
      <c r="K75" s="74">
        <f>+SUM(K71:K74)</f>
        <v>102</v>
      </c>
    </row>
    <row r="76" spans="1:11" x14ac:dyDescent="0.35">
      <c r="I76" s="59"/>
      <c r="J76" s="59"/>
    </row>
    <row r="77" spans="1:11" x14ac:dyDescent="0.35">
      <c r="B77" s="15" t="s">
        <v>62</v>
      </c>
      <c r="H77" s="75">
        <v>100</v>
      </c>
      <c r="I77" s="59">
        <f>-H77</f>
        <v>-100</v>
      </c>
      <c r="J77" s="59"/>
      <c r="K77" s="73">
        <f t="shared" ref="K77:K82" si="1">+SUM(H77:J77)</f>
        <v>0</v>
      </c>
    </row>
    <row r="78" spans="1:11" x14ac:dyDescent="0.35">
      <c r="B78" s="15" t="s">
        <v>160</v>
      </c>
      <c r="H78" s="83">
        <v>0</v>
      </c>
      <c r="I78" s="59"/>
      <c r="J78" s="59">
        <f>+F29</f>
        <v>175</v>
      </c>
      <c r="K78" s="72">
        <f t="shared" si="1"/>
        <v>175</v>
      </c>
    </row>
    <row r="79" spans="1:11" x14ac:dyDescent="0.35">
      <c r="B79" s="15" t="s">
        <v>19</v>
      </c>
      <c r="H79" s="83">
        <v>0</v>
      </c>
      <c r="I79" s="59"/>
      <c r="J79" s="59">
        <f>+F30</f>
        <v>75</v>
      </c>
      <c r="K79" s="72">
        <f t="shared" si="1"/>
        <v>75</v>
      </c>
    </row>
    <row r="80" spans="1:11" x14ac:dyDescent="0.35">
      <c r="B80" s="15" t="s">
        <v>28</v>
      </c>
      <c r="H80" s="83">
        <v>0</v>
      </c>
      <c r="I80" s="59"/>
      <c r="J80" s="59">
        <f>+F31</f>
        <v>50</v>
      </c>
      <c r="K80" s="72">
        <f t="shared" si="1"/>
        <v>50</v>
      </c>
    </row>
    <row r="81" spans="1:11" x14ac:dyDescent="0.35">
      <c r="B81" s="15" t="s">
        <v>63</v>
      </c>
      <c r="H81" s="83">
        <v>0</v>
      </c>
      <c r="I81" s="59">
        <f>-K22</f>
        <v>-7.5</v>
      </c>
      <c r="J81" s="59"/>
      <c r="K81" s="72">
        <f t="shared" si="1"/>
        <v>-7.5</v>
      </c>
    </row>
    <row r="82" spans="1:11" x14ac:dyDescent="0.35">
      <c r="B82" s="10" t="s">
        <v>64</v>
      </c>
      <c r="C82" s="10"/>
      <c r="D82" s="10"/>
      <c r="E82" s="10"/>
      <c r="F82" s="10"/>
      <c r="G82" s="10"/>
      <c r="H82" s="82">
        <v>0</v>
      </c>
      <c r="I82" s="12"/>
      <c r="J82" s="12">
        <f>+E51</f>
        <v>22.89</v>
      </c>
      <c r="K82" s="78">
        <f t="shared" si="1"/>
        <v>22.89</v>
      </c>
    </row>
    <row r="83" spans="1:11" s="42" customFormat="1" ht="13.15" x14ac:dyDescent="0.4">
      <c r="A83" s="15"/>
      <c r="B83" s="42" t="s">
        <v>65</v>
      </c>
      <c r="H83" s="74">
        <f>+SUM(H75,H77:H82)</f>
        <v>202</v>
      </c>
      <c r="I83" s="60"/>
      <c r="J83" s="60"/>
      <c r="K83" s="74">
        <f>+SUM(K75,K77:K82)</f>
        <v>417.39</v>
      </c>
    </row>
    <row r="84" spans="1:11" x14ac:dyDescent="0.35">
      <c r="B84" s="10"/>
      <c r="C84" s="10"/>
      <c r="D84" s="10"/>
      <c r="E84" s="10"/>
      <c r="F84" s="10"/>
      <c r="G84" s="10"/>
      <c r="H84" s="10"/>
      <c r="I84" s="12"/>
      <c r="J84" s="12"/>
      <c r="K84" s="10"/>
    </row>
    <row r="85" spans="1:11" s="42" customFormat="1" ht="13.15" x14ac:dyDescent="0.4">
      <c r="A85" s="15"/>
      <c r="B85" s="42" t="s">
        <v>66</v>
      </c>
      <c r="H85" s="81">
        <v>115</v>
      </c>
      <c r="I85" s="60">
        <f>-H85-K30</f>
        <v>-125</v>
      </c>
      <c r="J85" s="60">
        <f>+SUM(F33:F34)</f>
        <v>347.5</v>
      </c>
      <c r="K85" s="74">
        <f>+SUM(H85:J85)</f>
        <v>337.5</v>
      </c>
    </row>
    <row r="86" spans="1:11" x14ac:dyDescent="0.35">
      <c r="I86" s="59"/>
      <c r="J86" s="59"/>
    </row>
    <row r="87" spans="1:11" ht="13.15" x14ac:dyDescent="0.4">
      <c r="B87" s="90" t="s">
        <v>67</v>
      </c>
      <c r="C87" s="90"/>
      <c r="D87" s="90"/>
      <c r="E87" s="90"/>
      <c r="F87" s="90"/>
      <c r="G87" s="90"/>
      <c r="H87" s="91">
        <f>+SUM(H83,H85)</f>
        <v>317</v>
      </c>
      <c r="I87" s="94"/>
      <c r="J87" s="94"/>
      <c r="K87" s="91">
        <f>+SUM(K83,K85)</f>
        <v>754.89</v>
      </c>
    </row>
    <row r="89" spans="1:11" s="37" customFormat="1" x14ac:dyDescent="0.35">
      <c r="B89" s="37" t="s">
        <v>68</v>
      </c>
      <c r="H89" s="80">
        <f>+H69-H87</f>
        <v>0</v>
      </c>
      <c r="I89" s="80"/>
      <c r="J89" s="80"/>
      <c r="K89" s="80">
        <f>+K69-K87</f>
        <v>0</v>
      </c>
    </row>
    <row r="91" spans="1:11" ht="13.15" x14ac:dyDescent="0.4">
      <c r="B91" s="34" t="s">
        <v>148</v>
      </c>
      <c r="C91" s="34"/>
      <c r="D91" s="34"/>
      <c r="E91" s="34"/>
      <c r="F91" s="34"/>
      <c r="G91" s="34"/>
      <c r="H91" s="34"/>
      <c r="I91" s="34"/>
      <c r="J91" s="34"/>
      <c r="K91" s="34"/>
    </row>
    <row r="93" spans="1:11" ht="13.15" x14ac:dyDescent="0.4">
      <c r="B93" s="19" t="s">
        <v>69</v>
      </c>
      <c r="C93" s="19"/>
      <c r="D93" s="19"/>
      <c r="E93" s="19"/>
      <c r="F93" s="20">
        <v>2020</v>
      </c>
      <c r="G93" s="24">
        <f>+F93+1</f>
        <v>2021</v>
      </c>
      <c r="H93" s="24">
        <f>+G93+1</f>
        <v>2022</v>
      </c>
      <c r="I93" s="24">
        <f>+H93+1</f>
        <v>2023</v>
      </c>
      <c r="J93" s="24">
        <f>+I93+1</f>
        <v>2024</v>
      </c>
      <c r="K93" s="24">
        <f>+J93+1</f>
        <v>2025</v>
      </c>
    </row>
    <row r="95" spans="1:11" ht="13.15" x14ac:dyDescent="0.4">
      <c r="B95" s="42" t="s">
        <v>70</v>
      </c>
      <c r="C95" s="42"/>
      <c r="D95" s="42"/>
      <c r="E95" s="42"/>
      <c r="F95" s="81">
        <v>715</v>
      </c>
      <c r="G95" s="74">
        <f>+F95*(1+G113)</f>
        <v>772.2</v>
      </c>
      <c r="H95" s="74">
        <f>+G95*(1+H113)</f>
        <v>837.83699999999999</v>
      </c>
      <c r="I95" s="74">
        <f>+H95*(1+I113)</f>
        <v>913.24233000000004</v>
      </c>
      <c r="J95" s="74">
        <f>+I95*(1+J113)</f>
        <v>1000.0003513500001</v>
      </c>
      <c r="K95" s="74">
        <f>+J95*(1+K113)</f>
        <v>1100.0003864850003</v>
      </c>
    </row>
    <row r="96" spans="1:11" x14ac:dyDescent="0.35">
      <c r="B96" s="10" t="s">
        <v>146</v>
      </c>
      <c r="C96" s="10"/>
      <c r="D96" s="10"/>
      <c r="E96" s="10"/>
      <c r="F96" s="82">
        <v>-490</v>
      </c>
      <c r="G96" s="78">
        <f>+G97-G95</f>
        <v>-527.65560000000005</v>
      </c>
      <c r="H96" s="78">
        <f t="shared" ref="H96:K96" si="2">+H97-H95</f>
        <v>-570.83065199999999</v>
      </c>
      <c r="I96" s="78">
        <f t="shared" si="2"/>
        <v>-620.37892601999999</v>
      </c>
      <c r="J96" s="78">
        <f t="shared" si="2"/>
        <v>-677.31492328920012</v>
      </c>
      <c r="K96" s="78">
        <f t="shared" si="2"/>
        <v>-742.84641484515009</v>
      </c>
    </row>
    <row r="97" spans="2:12" ht="13.15" x14ac:dyDescent="0.4">
      <c r="B97" s="42" t="s">
        <v>71</v>
      </c>
      <c r="C97" s="42"/>
      <c r="D97" s="42"/>
      <c r="E97" s="42"/>
      <c r="F97" s="74">
        <f>SUM(F95:F96)</f>
        <v>225</v>
      </c>
      <c r="G97" s="74">
        <f>+G114*G95</f>
        <v>244.54440000000002</v>
      </c>
      <c r="H97" s="74">
        <f>+H114*H95</f>
        <v>267.006348</v>
      </c>
      <c r="I97" s="74">
        <f>+I114*I95</f>
        <v>292.86340398000004</v>
      </c>
      <c r="J97" s="74">
        <f>+J114*J95</f>
        <v>322.68542806080001</v>
      </c>
      <c r="K97" s="74">
        <f>+K114*K95</f>
        <v>357.15397163985011</v>
      </c>
    </row>
    <row r="98" spans="2:12" x14ac:dyDescent="0.35">
      <c r="B98" s="15" t="s">
        <v>72</v>
      </c>
      <c r="F98" s="83">
        <v>-150</v>
      </c>
      <c r="G98" s="72">
        <f t="shared" ref="G98:K99" si="3">-G115*G$95</f>
        <v>-162</v>
      </c>
      <c r="H98" s="72">
        <f t="shared" si="3"/>
        <v>-175.77</v>
      </c>
      <c r="I98" s="72">
        <f t="shared" si="3"/>
        <v>-191.58930000000001</v>
      </c>
      <c r="J98" s="72">
        <f t="shared" si="3"/>
        <v>-209.79028350000002</v>
      </c>
      <c r="K98" s="72">
        <f t="shared" si="3"/>
        <v>-230.76931185000007</v>
      </c>
    </row>
    <row r="99" spans="2:12" x14ac:dyDescent="0.35">
      <c r="B99" s="15" t="s">
        <v>73</v>
      </c>
      <c r="F99" s="83">
        <v>-25</v>
      </c>
      <c r="G99" s="72">
        <f t="shared" si="3"/>
        <v>-27.000000000000004</v>
      </c>
      <c r="H99" s="72">
        <f t="shared" si="3"/>
        <v>-29.295000000000002</v>
      </c>
      <c r="I99" s="72">
        <f t="shared" si="3"/>
        <v>-31.931550000000005</v>
      </c>
      <c r="J99" s="72">
        <f t="shared" si="3"/>
        <v>-34.965047250000005</v>
      </c>
      <c r="K99" s="72">
        <f t="shared" si="3"/>
        <v>-38.461551975000013</v>
      </c>
    </row>
    <row r="100" spans="2:12" ht="13.15" x14ac:dyDescent="0.4">
      <c r="B100" s="90" t="s">
        <v>74</v>
      </c>
      <c r="C100" s="90"/>
      <c r="D100" s="90"/>
      <c r="E100" s="90"/>
      <c r="F100" s="91">
        <f>SUM(F97:F99)</f>
        <v>50</v>
      </c>
      <c r="G100" s="91">
        <f>SUM(G97:G99)</f>
        <v>55.544400000000024</v>
      </c>
      <c r="H100" s="91">
        <f t="shared" ref="H100" si="4">SUM(H97:H99)</f>
        <v>61.941347999999991</v>
      </c>
      <c r="I100" s="91">
        <f>SUM(I97:I99)</f>
        <v>69.342553980000034</v>
      </c>
      <c r="J100" s="91">
        <f>SUM(J97:J99)</f>
        <v>77.930097310799994</v>
      </c>
      <c r="K100" s="91">
        <f>SUM(K97:K99)</f>
        <v>87.923107814850027</v>
      </c>
    </row>
    <row r="101" spans="2:12" x14ac:dyDescent="0.35">
      <c r="B101" s="15" t="s">
        <v>75</v>
      </c>
      <c r="F101" s="83">
        <v>-10</v>
      </c>
      <c r="G101" s="72">
        <f>-G118*G95</f>
        <v>-10.8</v>
      </c>
      <c r="H101" s="72">
        <f>-H118*H95</f>
        <v>-11.718</v>
      </c>
      <c r="I101" s="72">
        <f>-I118*I95</f>
        <v>-12.77262</v>
      </c>
      <c r="J101" s="72">
        <f>-J118*J95</f>
        <v>-13.986018900000001</v>
      </c>
      <c r="K101" s="72">
        <f>-K118*K95</f>
        <v>-15.384620790000003</v>
      </c>
    </row>
    <row r="102" spans="2:12" x14ac:dyDescent="0.35">
      <c r="B102" s="15" t="s">
        <v>176</v>
      </c>
      <c r="F102" s="83">
        <v>0</v>
      </c>
      <c r="G102" s="72">
        <f>-$K$44</f>
        <v>-3.2533333333333334</v>
      </c>
      <c r="H102" s="72">
        <f t="shared" ref="H102:K102" si="5">-$K$44</f>
        <v>-3.2533333333333334</v>
      </c>
      <c r="I102" s="72">
        <f t="shared" si="5"/>
        <v>-3.2533333333333334</v>
      </c>
      <c r="J102" s="72">
        <f t="shared" si="5"/>
        <v>-3.2533333333333334</v>
      </c>
      <c r="K102" s="72">
        <f t="shared" si="5"/>
        <v>-3.2533333333333334</v>
      </c>
    </row>
    <row r="103" spans="2:12" x14ac:dyDescent="0.35">
      <c r="B103" s="15" t="s">
        <v>175</v>
      </c>
      <c r="F103" s="83">
        <v>0</v>
      </c>
      <c r="G103" s="72">
        <f>-$K$51</f>
        <v>-1.6600000000000001</v>
      </c>
      <c r="H103" s="72">
        <f>-$K$51</f>
        <v>-1.6600000000000001</v>
      </c>
      <c r="I103" s="72">
        <f>-$K$51</f>
        <v>-1.6600000000000001</v>
      </c>
      <c r="J103" s="72">
        <f>-$K$51</f>
        <v>-1.6600000000000001</v>
      </c>
      <c r="K103" s="72">
        <f>-$K$51</f>
        <v>-1.6600000000000001</v>
      </c>
    </row>
    <row r="104" spans="2:12" x14ac:dyDescent="0.35">
      <c r="B104" s="10" t="s">
        <v>159</v>
      </c>
      <c r="C104" s="10"/>
      <c r="D104" s="10"/>
      <c r="E104" s="10"/>
      <c r="F104" s="82">
        <v>0</v>
      </c>
      <c r="G104" s="78">
        <f>-G119</f>
        <v>-2</v>
      </c>
      <c r="H104" s="78">
        <f>-H119</f>
        <v>-2</v>
      </c>
      <c r="I104" s="78">
        <f>-I119</f>
        <v>-2</v>
      </c>
      <c r="J104" s="78">
        <f>-J119</f>
        <v>-2</v>
      </c>
      <c r="K104" s="78">
        <f>-K119</f>
        <v>-2</v>
      </c>
    </row>
    <row r="105" spans="2:12" ht="13.15" x14ac:dyDescent="0.4">
      <c r="B105" s="42" t="s">
        <v>76</v>
      </c>
      <c r="C105" s="42"/>
      <c r="D105" s="42"/>
      <c r="E105" s="42"/>
      <c r="F105" s="74">
        <f>SUM(F100:F104)</f>
        <v>40</v>
      </c>
      <c r="G105" s="74">
        <f t="shared" ref="G105:K105" si="6">SUM(G100:G104)</f>
        <v>37.8310666666667</v>
      </c>
      <c r="H105" s="74">
        <f t="shared" si="6"/>
        <v>43.31001466666666</v>
      </c>
      <c r="I105" s="74">
        <f t="shared" si="6"/>
        <v>49.656600646666703</v>
      </c>
      <c r="J105" s="74">
        <f t="shared" si="6"/>
        <v>57.030745077466662</v>
      </c>
      <c r="K105" s="74">
        <f t="shared" si="6"/>
        <v>65.625153691516701</v>
      </c>
    </row>
    <row r="106" spans="2:12" x14ac:dyDescent="0.35">
      <c r="B106" s="15" t="s">
        <v>77</v>
      </c>
      <c r="F106" s="83">
        <v>-5</v>
      </c>
      <c r="G106" s="72">
        <f ca="1">-G209</f>
        <v>-21.98966149715368</v>
      </c>
      <c r="H106" s="72">
        <f t="shared" ref="H106:K106" ca="1" si="7">-H209</f>
        <v>-21.552513328831825</v>
      </c>
      <c r="I106" s="72">
        <f t="shared" ca="1" si="7"/>
        <v>-20.907384380101121</v>
      </c>
      <c r="J106" s="72">
        <f t="shared" ca="1" si="7"/>
        <v>-20.330857446381629</v>
      </c>
      <c r="K106" s="72">
        <f t="shared" ca="1" si="7"/>
        <v>-19.348015327828037</v>
      </c>
    </row>
    <row r="107" spans="2:12" x14ac:dyDescent="0.35">
      <c r="B107" s="10" t="s">
        <v>78</v>
      </c>
      <c r="C107" s="10"/>
      <c r="D107" s="10"/>
      <c r="E107" s="10"/>
      <c r="F107" s="82">
        <v>0</v>
      </c>
      <c r="G107" s="78">
        <f>-$K$22/$K$11</f>
        <v>-1.0714285714285714</v>
      </c>
      <c r="H107" s="78">
        <f>-$K$22/$K$11</f>
        <v>-1.0714285714285714</v>
      </c>
      <c r="I107" s="78">
        <f>-$K$22/$K$11</f>
        <v>-1.0714285714285714</v>
      </c>
      <c r="J107" s="78">
        <f>-$K$22/$K$11</f>
        <v>-1.0714285714285714</v>
      </c>
      <c r="K107" s="78">
        <f>-$K$22/$K$11</f>
        <v>-1.0714285714285714</v>
      </c>
    </row>
    <row r="108" spans="2:12" ht="13.15" x14ac:dyDescent="0.4">
      <c r="B108" s="42" t="s">
        <v>79</v>
      </c>
      <c r="C108" s="42"/>
      <c r="D108" s="42"/>
      <c r="E108" s="42"/>
      <c r="F108" s="74">
        <f t="shared" ref="F108:K108" si="8">+SUM(F105:F107)</f>
        <v>35</v>
      </c>
      <c r="G108" s="74">
        <f t="shared" ca="1" si="8"/>
        <v>14.769976598084449</v>
      </c>
      <c r="H108" s="74">
        <f t="shared" ca="1" si="8"/>
        <v>20.686072766406262</v>
      </c>
      <c r="I108" s="74">
        <f t="shared" ca="1" si="8"/>
        <v>27.67778769513701</v>
      </c>
      <c r="J108" s="74">
        <f t="shared" ca="1" si="8"/>
        <v>35.628459059656464</v>
      </c>
      <c r="K108" s="74">
        <f t="shared" ca="1" si="8"/>
        <v>45.205709792260095</v>
      </c>
    </row>
    <row r="109" spans="2:12" x14ac:dyDescent="0.35">
      <c r="B109" s="15" t="s">
        <v>80</v>
      </c>
      <c r="F109" s="83">
        <v>-10</v>
      </c>
      <c r="G109" s="72">
        <f ca="1">-$K$12*G108</f>
        <v>-5.169491809329557</v>
      </c>
      <c r="H109" s="72">
        <f ca="1">-$K$12*H108</f>
        <v>-7.2401254682421916</v>
      </c>
      <c r="I109" s="72">
        <f ca="1">-$K$12*I108</f>
        <v>-9.6872256932979521</v>
      </c>
      <c r="J109" s="72">
        <f ca="1">-$K$12*J108</f>
        <v>-12.469960670879761</v>
      </c>
      <c r="K109" s="72">
        <f ca="1">-$K$12*K108</f>
        <v>-15.821998427291032</v>
      </c>
    </row>
    <row r="110" spans="2:12" ht="13.15" x14ac:dyDescent="0.4">
      <c r="B110" s="90" t="s">
        <v>81</v>
      </c>
      <c r="C110" s="90"/>
      <c r="D110" s="90"/>
      <c r="E110" s="90"/>
      <c r="F110" s="91">
        <f>+SUM(F108:F109)</f>
        <v>25</v>
      </c>
      <c r="G110" s="91">
        <f t="shared" ref="G110:K110" ca="1" si="9">+SUM(G108:G109)</f>
        <v>9.6004847887548923</v>
      </c>
      <c r="H110" s="91">
        <f t="shared" ca="1" si="9"/>
        <v>13.445947298164072</v>
      </c>
      <c r="I110" s="91">
        <f t="shared" ca="1" si="9"/>
        <v>17.990562001839059</v>
      </c>
      <c r="J110" s="91">
        <f t="shared" ca="1" si="9"/>
        <v>23.158498388776703</v>
      </c>
      <c r="K110" s="91">
        <f t="shared" ca="1" si="9"/>
        <v>29.383711364969063</v>
      </c>
    </row>
    <row r="111" spans="2:12" ht="13.15" x14ac:dyDescent="0.4">
      <c r="B111" s="42"/>
      <c r="C111" s="42"/>
      <c r="D111" s="42"/>
      <c r="E111" s="42"/>
      <c r="F111" s="29"/>
      <c r="G111" s="29"/>
      <c r="H111" s="29"/>
      <c r="I111" s="29"/>
      <c r="J111" s="29"/>
      <c r="K111" s="29"/>
    </row>
    <row r="112" spans="2:12" ht="13.15" x14ac:dyDescent="0.4">
      <c r="B112" s="121" t="s">
        <v>102</v>
      </c>
      <c r="C112" s="121"/>
      <c r="D112" s="121"/>
      <c r="E112" s="121"/>
      <c r="F112" s="121"/>
      <c r="G112" s="123"/>
      <c r="H112" s="123"/>
      <c r="I112" s="123"/>
      <c r="J112" s="123"/>
      <c r="K112" s="123"/>
      <c r="L112" s="85" t="s">
        <v>153</v>
      </c>
    </row>
    <row r="113" spans="1:12" x14ac:dyDescent="0.35">
      <c r="B113" s="15" t="s">
        <v>103</v>
      </c>
      <c r="F113" s="39" t="s">
        <v>142</v>
      </c>
      <c r="G113" s="61">
        <v>0.08</v>
      </c>
      <c r="H113" s="61">
        <f>+G113+$L$113</f>
        <v>8.5000000000000006E-2</v>
      </c>
      <c r="I113" s="61">
        <f t="shared" ref="I113:K113" si="10">+H113+$L$113</f>
        <v>9.0000000000000011E-2</v>
      </c>
      <c r="J113" s="61">
        <f t="shared" si="10"/>
        <v>9.5000000000000015E-2</v>
      </c>
      <c r="K113" s="61">
        <f t="shared" si="10"/>
        <v>0.10000000000000002</v>
      </c>
      <c r="L113" s="131">
        <v>5.0000000000000001E-3</v>
      </c>
    </row>
    <row r="114" spans="1:12" x14ac:dyDescent="0.35">
      <c r="B114" s="15" t="s">
        <v>104</v>
      </c>
      <c r="F114" s="39">
        <f>+F97/F$95</f>
        <v>0.31468531468531469</v>
      </c>
      <c r="G114" s="61">
        <f t="shared" ref="G114" si="11">+F114+$L$114</f>
        <v>0.31668531468531469</v>
      </c>
      <c r="H114" s="61">
        <f>+G114+$L$114</f>
        <v>0.31868531468531469</v>
      </c>
      <c r="I114" s="61">
        <f t="shared" ref="I114:K114" si="12">+H114+$L$114</f>
        <v>0.32068531468531469</v>
      </c>
      <c r="J114" s="61">
        <f t="shared" si="12"/>
        <v>0.32268531468531469</v>
      </c>
      <c r="K114" s="61">
        <f t="shared" si="12"/>
        <v>0.3246853146853147</v>
      </c>
      <c r="L114" s="131">
        <v>2E-3</v>
      </c>
    </row>
    <row r="115" spans="1:12" x14ac:dyDescent="0.35">
      <c r="B115" s="15" t="s">
        <v>105</v>
      </c>
      <c r="F115" s="39">
        <f>-F98/F$95</f>
        <v>0.20979020979020979</v>
      </c>
      <c r="G115" s="61">
        <f t="shared" ref="G115" si="13">+F115</f>
        <v>0.20979020979020979</v>
      </c>
      <c r="H115" s="61">
        <f t="shared" ref="H115" si="14">+G115</f>
        <v>0.20979020979020979</v>
      </c>
      <c r="I115" s="61">
        <f t="shared" ref="I115" si="15">+H115</f>
        <v>0.20979020979020979</v>
      </c>
      <c r="J115" s="61">
        <f t="shared" ref="J115" si="16">+I115</f>
        <v>0.20979020979020979</v>
      </c>
      <c r="K115" s="61">
        <f t="shared" ref="K115" si="17">+J115</f>
        <v>0.20979020979020979</v>
      </c>
      <c r="L115" s="84"/>
    </row>
    <row r="116" spans="1:12" x14ac:dyDescent="0.35">
      <c r="B116" s="15" t="s">
        <v>106</v>
      </c>
      <c r="F116" s="39">
        <f>-F99/F$95</f>
        <v>3.4965034965034968E-2</v>
      </c>
      <c r="G116" s="61">
        <f>+F116</f>
        <v>3.4965034965034968E-2</v>
      </c>
      <c r="H116" s="61">
        <f t="shared" ref="H116:K116" si="18">+G116</f>
        <v>3.4965034965034968E-2</v>
      </c>
      <c r="I116" s="61">
        <f t="shared" si="18"/>
        <v>3.4965034965034968E-2</v>
      </c>
      <c r="J116" s="61">
        <f t="shared" si="18"/>
        <v>3.4965034965034968E-2</v>
      </c>
      <c r="K116" s="61">
        <f t="shared" si="18"/>
        <v>3.4965034965034968E-2</v>
      </c>
      <c r="L116" s="84"/>
    </row>
    <row r="117" spans="1:12" x14ac:dyDescent="0.35">
      <c r="B117" s="15" t="s">
        <v>107</v>
      </c>
      <c r="F117" s="39">
        <f t="shared" ref="F117:K117" si="19">+F100/F$95</f>
        <v>6.9930069930069935E-2</v>
      </c>
      <c r="G117" s="39">
        <f>+G100/G$95</f>
        <v>7.1930069930069951E-2</v>
      </c>
      <c r="H117" s="39">
        <f t="shared" si="19"/>
        <v>7.3930069930069925E-2</v>
      </c>
      <c r="I117" s="39">
        <f t="shared" si="19"/>
        <v>7.5930069930069968E-2</v>
      </c>
      <c r="J117" s="39">
        <f t="shared" si="19"/>
        <v>7.7930069930069915E-2</v>
      </c>
      <c r="K117" s="39">
        <f t="shared" si="19"/>
        <v>7.993006993006993E-2</v>
      </c>
      <c r="L117" s="84"/>
    </row>
    <row r="118" spans="1:12" x14ac:dyDescent="0.35">
      <c r="B118" s="15" t="s">
        <v>108</v>
      </c>
      <c r="F118" s="39">
        <f>-F101/F$95</f>
        <v>1.3986013986013986E-2</v>
      </c>
      <c r="G118" s="61">
        <f>+F118</f>
        <v>1.3986013986013986E-2</v>
      </c>
      <c r="H118" s="61">
        <f t="shared" ref="H118:K119" si="20">+G118</f>
        <v>1.3986013986013986E-2</v>
      </c>
      <c r="I118" s="61">
        <f t="shared" si="20"/>
        <v>1.3986013986013986E-2</v>
      </c>
      <c r="J118" s="61">
        <f t="shared" si="20"/>
        <v>1.3986013986013986E-2</v>
      </c>
      <c r="K118" s="61">
        <f t="shared" si="20"/>
        <v>1.3986013986013986E-2</v>
      </c>
      <c r="L118" s="84"/>
    </row>
    <row r="119" spans="1:12" x14ac:dyDescent="0.35">
      <c r="B119" s="52" t="s">
        <v>158</v>
      </c>
      <c r="F119" s="39" t="s">
        <v>142</v>
      </c>
      <c r="G119" s="75">
        <v>2</v>
      </c>
      <c r="H119" s="75">
        <f>+G119</f>
        <v>2</v>
      </c>
      <c r="I119" s="75">
        <f t="shared" si="20"/>
        <v>2</v>
      </c>
      <c r="J119" s="75">
        <f t="shared" si="20"/>
        <v>2</v>
      </c>
      <c r="K119" s="75">
        <f t="shared" si="20"/>
        <v>2</v>
      </c>
      <c r="L119" s="84"/>
    </row>
    <row r="120" spans="1:12" x14ac:dyDescent="0.35">
      <c r="B120" s="52"/>
      <c r="F120" s="39"/>
      <c r="G120" s="72"/>
      <c r="H120" s="72"/>
      <c r="I120" s="72"/>
      <c r="J120" s="72"/>
      <c r="K120" s="72"/>
      <c r="L120" s="84"/>
    </row>
    <row r="121" spans="1:12" ht="13.15" x14ac:dyDescent="0.4">
      <c r="B121" s="34" t="s">
        <v>149</v>
      </c>
      <c r="C121" s="34"/>
      <c r="D121" s="34"/>
      <c r="E121" s="34"/>
      <c r="F121" s="34"/>
      <c r="G121" s="34"/>
      <c r="H121" s="34"/>
      <c r="I121" s="34"/>
      <c r="J121" s="34"/>
      <c r="K121" s="34"/>
      <c r="L121" s="47"/>
    </row>
    <row r="123" spans="1:12" s="42" customFormat="1" ht="13.15" x14ac:dyDescent="0.4">
      <c r="A123" s="15"/>
      <c r="B123" s="19" t="s">
        <v>88</v>
      </c>
      <c r="C123" s="19"/>
      <c r="D123" s="19"/>
      <c r="E123" s="19"/>
      <c r="F123" s="19"/>
      <c r="G123" s="24">
        <v>2021</v>
      </c>
      <c r="H123" s="24">
        <f>+G123+1</f>
        <v>2022</v>
      </c>
      <c r="I123" s="24">
        <f>+H123+1</f>
        <v>2023</v>
      </c>
      <c r="J123" s="24">
        <f>+I123+1</f>
        <v>2024</v>
      </c>
      <c r="K123" s="24">
        <f>+J123+1</f>
        <v>2025</v>
      </c>
    </row>
    <row r="124" spans="1:12" x14ac:dyDescent="0.35">
      <c r="F124" s="38"/>
      <c r="G124" s="36"/>
      <c r="H124" s="36"/>
      <c r="I124" s="36"/>
      <c r="J124" s="36"/>
      <c r="K124" s="36"/>
    </row>
    <row r="125" spans="1:12" s="42" customFormat="1" ht="13.15" x14ac:dyDescent="0.4">
      <c r="A125" s="15"/>
      <c r="B125" s="42" t="s">
        <v>81</v>
      </c>
      <c r="F125" s="40"/>
      <c r="G125" s="74">
        <f ca="1">+G110</f>
        <v>9.6004847887548923</v>
      </c>
      <c r="H125" s="74">
        <f ca="1">+H110</f>
        <v>13.445947298164072</v>
      </c>
      <c r="I125" s="74">
        <f ca="1">+I110</f>
        <v>17.990562001839059</v>
      </c>
      <c r="J125" s="74">
        <f ca="1">+J110</f>
        <v>23.158498388776703</v>
      </c>
      <c r="K125" s="74">
        <f ca="1">+K110</f>
        <v>29.383711364969063</v>
      </c>
    </row>
    <row r="126" spans="1:12" x14ac:dyDescent="0.35">
      <c r="B126" s="15" t="s">
        <v>89</v>
      </c>
      <c r="F126" s="38"/>
      <c r="G126" s="72">
        <f>-G101</f>
        <v>10.8</v>
      </c>
      <c r="H126" s="72">
        <f>-H101</f>
        <v>11.718</v>
      </c>
      <c r="I126" s="72">
        <f>-I101</f>
        <v>12.77262</v>
      </c>
      <c r="J126" s="72">
        <f>-J101</f>
        <v>13.986018900000001</v>
      </c>
      <c r="K126" s="72">
        <f>-K101</f>
        <v>15.384620790000003</v>
      </c>
    </row>
    <row r="127" spans="1:12" x14ac:dyDescent="0.35">
      <c r="B127" s="15" t="s">
        <v>90</v>
      </c>
      <c r="F127" s="38"/>
      <c r="G127" s="72">
        <f>-G107</f>
        <v>1.0714285714285714</v>
      </c>
      <c r="H127" s="72">
        <f>-H107</f>
        <v>1.0714285714285714</v>
      </c>
      <c r="I127" s="72">
        <f>-I107</f>
        <v>1.0714285714285714</v>
      </c>
      <c r="J127" s="72">
        <f>-J107</f>
        <v>1.0714285714285714</v>
      </c>
      <c r="K127" s="72">
        <f>-K107</f>
        <v>1.0714285714285714</v>
      </c>
    </row>
    <row r="128" spans="1:12" x14ac:dyDescent="0.35">
      <c r="B128" s="15" t="s">
        <v>122</v>
      </c>
      <c r="F128" s="38"/>
      <c r="G128" s="72">
        <f>+G201</f>
        <v>2</v>
      </c>
      <c r="H128" s="72">
        <f t="shared" ref="H128:K128" si="21">+H201</f>
        <v>2.08</v>
      </c>
      <c r="I128" s="72">
        <f t="shared" si="21"/>
        <v>2.1631999999999998</v>
      </c>
      <c r="J128" s="72">
        <f t="shared" si="21"/>
        <v>2.2497280000000002</v>
      </c>
      <c r="K128" s="72">
        <f t="shared" si="21"/>
        <v>2.33971712</v>
      </c>
    </row>
    <row r="129" spans="1:11" x14ac:dyDescent="0.35">
      <c r="B129" s="15" t="s">
        <v>177</v>
      </c>
      <c r="F129" s="38"/>
      <c r="G129" s="72">
        <f t="shared" ref="G129:K130" si="22">-G102</f>
        <v>3.2533333333333334</v>
      </c>
      <c r="H129" s="72">
        <f t="shared" si="22"/>
        <v>3.2533333333333334</v>
      </c>
      <c r="I129" s="72">
        <f t="shared" si="22"/>
        <v>3.2533333333333334</v>
      </c>
      <c r="J129" s="72">
        <f t="shared" si="22"/>
        <v>3.2533333333333334</v>
      </c>
      <c r="K129" s="72">
        <f t="shared" si="22"/>
        <v>3.2533333333333334</v>
      </c>
    </row>
    <row r="130" spans="1:11" x14ac:dyDescent="0.35">
      <c r="B130" s="15" t="s">
        <v>178</v>
      </c>
      <c r="F130" s="38"/>
      <c r="G130" s="72">
        <f t="shared" si="22"/>
        <v>1.6600000000000001</v>
      </c>
      <c r="H130" s="72">
        <f t="shared" si="22"/>
        <v>1.6600000000000001</v>
      </c>
      <c r="I130" s="72">
        <f t="shared" si="22"/>
        <v>1.6600000000000001</v>
      </c>
      <c r="J130" s="72">
        <f t="shared" si="22"/>
        <v>1.6600000000000001</v>
      </c>
      <c r="K130" s="72">
        <f t="shared" si="22"/>
        <v>1.6600000000000001</v>
      </c>
    </row>
    <row r="131" spans="1:11" x14ac:dyDescent="0.35">
      <c r="B131" s="15" t="s">
        <v>191</v>
      </c>
      <c r="F131" s="38"/>
      <c r="G131" s="72">
        <f>-SUM($K$46,$K$53)</f>
        <v>-1.7196666666666669</v>
      </c>
      <c r="H131" s="72">
        <f t="shared" ref="H131:K131" si="23">-SUM($K$46,$K$53)</f>
        <v>-1.7196666666666669</v>
      </c>
      <c r="I131" s="72">
        <f t="shared" si="23"/>
        <v>-1.7196666666666669</v>
      </c>
      <c r="J131" s="72">
        <f t="shared" si="23"/>
        <v>-1.7196666666666669</v>
      </c>
      <c r="K131" s="72">
        <f t="shared" si="23"/>
        <v>-1.7196666666666669</v>
      </c>
    </row>
    <row r="132" spans="1:11" x14ac:dyDescent="0.35">
      <c r="B132" s="15" t="s">
        <v>91</v>
      </c>
      <c r="F132" s="38"/>
      <c r="G132" s="72">
        <f>+F248-G248</f>
        <v>-1.376963265306145</v>
      </c>
      <c r="H132" s="72">
        <f>+G248-H248</f>
        <v>-1.5786470204081127</v>
      </c>
      <c r="I132" s="72">
        <f>+H248-I248</f>
        <v>-1.8114545314286232</v>
      </c>
      <c r="J132" s="72">
        <f>+I248-J248</f>
        <v>-2.0812384758857263</v>
      </c>
      <c r="K132" s="72">
        <f>+J248-K248</f>
        <v>-2.3950343793856916</v>
      </c>
    </row>
    <row r="133" spans="1:11" s="42" customFormat="1" ht="13.15" x14ac:dyDescent="0.4">
      <c r="A133" s="15"/>
      <c r="B133" s="90" t="s">
        <v>92</v>
      </c>
      <c r="C133" s="90"/>
      <c r="D133" s="90"/>
      <c r="E133" s="90"/>
      <c r="F133" s="92"/>
      <c r="G133" s="91">
        <f ca="1">SUM(G125:G132)</f>
        <v>25.288616761543992</v>
      </c>
      <c r="H133" s="91">
        <f ca="1">SUM(H125:H132)</f>
        <v>29.930395515851195</v>
      </c>
      <c r="I133" s="91">
        <f ca="1">SUM(I125:I132)</f>
        <v>35.380022708505663</v>
      </c>
      <c r="J133" s="91">
        <f ca="1">SUM(J125:J132)</f>
        <v>41.578102050986203</v>
      </c>
      <c r="K133" s="91">
        <f ca="1">SUM(K125:K132)</f>
        <v>48.978110133678612</v>
      </c>
    </row>
    <row r="134" spans="1:11" x14ac:dyDescent="0.35">
      <c r="F134" s="38"/>
      <c r="G134" s="38"/>
      <c r="H134" s="38"/>
      <c r="I134" s="38"/>
      <c r="J134" s="38"/>
      <c r="K134" s="38"/>
    </row>
    <row r="135" spans="1:11" x14ac:dyDescent="0.35">
      <c r="B135" s="15" t="s">
        <v>93</v>
      </c>
      <c r="F135" s="38"/>
      <c r="G135" s="72">
        <f>-G150*G$95</f>
        <v>-15.444000000000001</v>
      </c>
      <c r="H135" s="72">
        <f>-H150*H$95</f>
        <v>-16.756740000000001</v>
      </c>
      <c r="I135" s="72">
        <f>-I150*I$95</f>
        <v>-18.264846600000002</v>
      </c>
      <c r="J135" s="72">
        <f>-J150*J$95</f>
        <v>-20.000007027000002</v>
      </c>
      <c r="K135" s="72">
        <f>-K150*K$95</f>
        <v>-22.000007729700005</v>
      </c>
    </row>
    <row r="136" spans="1:11" s="42" customFormat="1" ht="13.15" x14ac:dyDescent="0.4">
      <c r="A136" s="15"/>
      <c r="B136" s="90" t="s">
        <v>94</v>
      </c>
      <c r="C136" s="90"/>
      <c r="D136" s="90"/>
      <c r="E136" s="90"/>
      <c r="F136" s="92"/>
      <c r="G136" s="91">
        <f>+SUM(G135)</f>
        <v>-15.444000000000001</v>
      </c>
      <c r="H136" s="91">
        <f>+SUM(H135)</f>
        <v>-16.756740000000001</v>
      </c>
      <c r="I136" s="91">
        <f>+SUM(I135)</f>
        <v>-18.264846600000002</v>
      </c>
      <c r="J136" s="91">
        <f>+SUM(J135)</f>
        <v>-20.000007027000002</v>
      </c>
      <c r="K136" s="91">
        <f>+SUM(K135)</f>
        <v>-22.000007729700005</v>
      </c>
    </row>
    <row r="137" spans="1:11" x14ac:dyDescent="0.35">
      <c r="G137" s="38"/>
      <c r="H137" s="38"/>
      <c r="I137" s="38"/>
      <c r="J137" s="38"/>
      <c r="K137" s="38"/>
    </row>
    <row r="138" spans="1:11" x14ac:dyDescent="0.35">
      <c r="B138" s="10" t="s">
        <v>95</v>
      </c>
      <c r="C138" s="10"/>
      <c r="D138" s="10"/>
      <c r="E138" s="10"/>
      <c r="F138" s="13"/>
      <c r="G138" s="78">
        <f>+G176</f>
        <v>-8.75</v>
      </c>
      <c r="H138" s="78">
        <f ca="1">+H176</f>
        <v>-8.75</v>
      </c>
      <c r="I138" s="78">
        <f ca="1">+I176</f>
        <v>-8.75</v>
      </c>
      <c r="J138" s="78">
        <f ca="1">+J176</f>
        <v>-8.75</v>
      </c>
      <c r="K138" s="78">
        <f ca="1">+K176</f>
        <v>-8.75</v>
      </c>
    </row>
    <row r="139" spans="1:11" s="42" customFormat="1" ht="13.15" x14ac:dyDescent="0.4">
      <c r="A139" s="15"/>
      <c r="B139" s="42" t="s">
        <v>96</v>
      </c>
      <c r="F139" s="40"/>
      <c r="G139" s="74">
        <f ca="1">+SUM(G133,G136,G138)</f>
        <v>1.0946167615439908</v>
      </c>
      <c r="H139" s="74">
        <f t="shared" ref="H139:K139" ca="1" si="24">+SUM(H133,H136,H138)</f>
        <v>4.4236555158511948</v>
      </c>
      <c r="I139" s="74">
        <f t="shared" ca="1" si="24"/>
        <v>8.3651761085056613</v>
      </c>
      <c r="J139" s="74">
        <f t="shared" ca="1" si="24"/>
        <v>12.828095023986201</v>
      </c>
      <c r="K139" s="74">
        <f t="shared" ca="1" si="24"/>
        <v>18.228102403978607</v>
      </c>
    </row>
    <row r="140" spans="1:11" x14ac:dyDescent="0.35">
      <c r="B140" s="10" t="s">
        <v>97</v>
      </c>
      <c r="C140" s="10"/>
      <c r="D140" s="10"/>
      <c r="E140" s="10"/>
      <c r="F140" s="13"/>
      <c r="G140" s="78">
        <f ca="1">G160</f>
        <v>0</v>
      </c>
      <c r="H140" s="78">
        <f ca="1">H160</f>
        <v>0</v>
      </c>
      <c r="I140" s="78">
        <f ca="1">I160</f>
        <v>0</v>
      </c>
      <c r="J140" s="78">
        <f ca="1">J160</f>
        <v>0</v>
      </c>
      <c r="K140" s="78">
        <f ca="1">K160</f>
        <v>0</v>
      </c>
    </row>
    <row r="141" spans="1:11" s="42" customFormat="1" ht="13.15" x14ac:dyDescent="0.4">
      <c r="A141" s="15"/>
      <c r="B141" s="42" t="s">
        <v>98</v>
      </c>
      <c r="F141" s="40"/>
      <c r="G141" s="74">
        <f ca="1">SUM(G139:G140)</f>
        <v>1.0946167615439908</v>
      </c>
      <c r="H141" s="74">
        <f ca="1">SUM(H139:H140)</f>
        <v>4.4236555158511948</v>
      </c>
      <c r="I141" s="74">
        <f ca="1">SUM(I139:I140)</f>
        <v>8.3651761085056613</v>
      </c>
      <c r="J141" s="74">
        <f ca="1">SUM(J139:J140)</f>
        <v>12.828095023986201</v>
      </c>
      <c r="K141" s="74">
        <f ca="1">SUM(K139:K140)</f>
        <v>18.228102403978607</v>
      </c>
    </row>
    <row r="142" spans="1:11" x14ac:dyDescent="0.35">
      <c r="B142" s="15" t="s">
        <v>131</v>
      </c>
      <c r="F142" s="38"/>
      <c r="G142" s="72">
        <f ca="1">+G177</f>
        <v>-1.0946167615439908</v>
      </c>
      <c r="H142" s="72">
        <f t="shared" ref="H142:K142" ca="1" si="25">+H177</f>
        <v>-4.4236555158511948</v>
      </c>
      <c r="I142" s="72">
        <f t="shared" ca="1" si="25"/>
        <v>-8.3651761085056613</v>
      </c>
      <c r="J142" s="72">
        <f t="shared" ca="1" si="25"/>
        <v>-12.828095023986201</v>
      </c>
      <c r="K142" s="72">
        <f t="shared" ca="1" si="25"/>
        <v>-18.228102403978607</v>
      </c>
    </row>
    <row r="143" spans="1:11" ht="13.15" x14ac:dyDescent="0.4">
      <c r="B143" s="90" t="s">
        <v>139</v>
      </c>
      <c r="C143" s="90"/>
      <c r="D143" s="90"/>
      <c r="E143" s="90"/>
      <c r="F143" s="93"/>
      <c r="G143" s="91">
        <f ca="1">SUM(G141:G142)</f>
        <v>0</v>
      </c>
      <c r="H143" s="91">
        <f t="shared" ref="H143:J143" ca="1" si="26">SUM(H141:H142)</f>
        <v>0</v>
      </c>
      <c r="I143" s="91">
        <f t="shared" ca="1" si="26"/>
        <v>0</v>
      </c>
      <c r="J143" s="91">
        <f t="shared" ca="1" si="26"/>
        <v>0</v>
      </c>
      <c r="K143" s="91">
        <f ca="1">SUM(K141:K142)</f>
        <v>0</v>
      </c>
    </row>
    <row r="144" spans="1:11" x14ac:dyDescent="0.35">
      <c r="F144" s="38"/>
      <c r="G144" s="38"/>
      <c r="H144" s="38"/>
      <c r="I144" s="38"/>
      <c r="J144" s="38"/>
      <c r="K144" s="38"/>
    </row>
    <row r="145" spans="2:11" ht="13.15" x14ac:dyDescent="0.4">
      <c r="B145" s="15" t="s">
        <v>99</v>
      </c>
      <c r="F145" s="38"/>
      <c r="G145" s="74">
        <f>+K9</f>
        <v>5</v>
      </c>
      <c r="H145" s="74">
        <f ca="1">+G147</f>
        <v>5</v>
      </c>
      <c r="I145" s="74">
        <f ca="1">+H147</f>
        <v>5.0000000000000036</v>
      </c>
      <c r="J145" s="74">
        <f ca="1">+I147</f>
        <v>5</v>
      </c>
      <c r="K145" s="74">
        <f ca="1">+J147</f>
        <v>5</v>
      </c>
    </row>
    <row r="146" spans="2:11" x14ac:dyDescent="0.35">
      <c r="B146" s="15" t="s">
        <v>100</v>
      </c>
      <c r="F146" s="38"/>
      <c r="G146" s="72">
        <f ca="1">+G143</f>
        <v>0</v>
      </c>
      <c r="H146" s="72">
        <f ca="1">+H143</f>
        <v>0</v>
      </c>
      <c r="I146" s="72">
        <f ca="1">+I143</f>
        <v>0</v>
      </c>
      <c r="J146" s="72">
        <f ca="1">+J143</f>
        <v>0</v>
      </c>
      <c r="K146" s="72">
        <f ca="1">+K143</f>
        <v>0</v>
      </c>
    </row>
    <row r="147" spans="2:11" ht="13.15" x14ac:dyDescent="0.4">
      <c r="B147" s="90" t="s">
        <v>101</v>
      </c>
      <c r="C147" s="90"/>
      <c r="D147" s="90"/>
      <c r="E147" s="90"/>
      <c r="F147" s="92"/>
      <c r="G147" s="91">
        <f ca="1">SUM(G145:G146)</f>
        <v>5</v>
      </c>
      <c r="H147" s="91">
        <f ca="1">SUM(H145:H146)</f>
        <v>5</v>
      </c>
      <c r="I147" s="91">
        <f ca="1">SUM(I145:I146)</f>
        <v>5.0000000000000036</v>
      </c>
      <c r="J147" s="91">
        <f ca="1">SUM(J145:J146)</f>
        <v>5</v>
      </c>
      <c r="K147" s="91">
        <f ca="1">SUM(K145:K146)</f>
        <v>5</v>
      </c>
    </row>
    <row r="148" spans="2:11" ht="13.15" x14ac:dyDescent="0.4">
      <c r="B148" s="42"/>
      <c r="C148" s="42"/>
      <c r="D148" s="42"/>
      <c r="E148" s="42"/>
      <c r="F148" s="40"/>
      <c r="G148" s="38"/>
      <c r="H148" s="38"/>
      <c r="I148" s="38"/>
      <c r="J148" s="38"/>
      <c r="K148" s="38"/>
    </row>
    <row r="149" spans="2:11" ht="13.15" x14ac:dyDescent="0.4">
      <c r="B149" s="121" t="s">
        <v>102</v>
      </c>
      <c r="C149" s="121"/>
      <c r="D149" s="121"/>
      <c r="E149" s="121"/>
      <c r="F149" s="121"/>
      <c r="G149" s="123"/>
      <c r="H149" s="123"/>
      <c r="I149" s="123"/>
      <c r="J149" s="123"/>
      <c r="K149" s="123"/>
    </row>
    <row r="150" spans="2:11" x14ac:dyDescent="0.35">
      <c r="B150" s="15" t="s">
        <v>109</v>
      </c>
      <c r="F150" s="41"/>
      <c r="G150" s="61">
        <v>0.02</v>
      </c>
      <c r="H150" s="39">
        <f>+G150</f>
        <v>0.02</v>
      </c>
      <c r="I150" s="39">
        <f>+H150</f>
        <v>0.02</v>
      </c>
      <c r="J150" s="39">
        <f>+I150</f>
        <v>0.02</v>
      </c>
      <c r="K150" s="39">
        <f>+J150</f>
        <v>0.02</v>
      </c>
    </row>
    <row r="151" spans="2:11" x14ac:dyDescent="0.35">
      <c r="F151" s="41"/>
      <c r="G151" s="61"/>
      <c r="H151" s="39"/>
      <c r="I151" s="39"/>
      <c r="J151" s="39"/>
      <c r="K151" s="39"/>
    </row>
    <row r="152" spans="2:11" ht="13.15" x14ac:dyDescent="0.4">
      <c r="B152" s="34" t="s">
        <v>150</v>
      </c>
      <c r="C152" s="34"/>
      <c r="D152" s="34"/>
      <c r="E152" s="34"/>
      <c r="F152" s="34"/>
      <c r="G152" s="34"/>
      <c r="H152" s="34"/>
      <c r="I152" s="34"/>
      <c r="J152" s="34"/>
      <c r="K152" s="34"/>
    </row>
    <row r="154" spans="2:11" ht="13.15" x14ac:dyDescent="0.4">
      <c r="B154" s="19" t="s">
        <v>110</v>
      </c>
      <c r="C154" s="19"/>
      <c r="D154" s="19"/>
      <c r="E154" s="19"/>
      <c r="F154" s="19"/>
      <c r="G154" s="24">
        <v>2021</v>
      </c>
      <c r="H154" s="24">
        <f>+G154+1</f>
        <v>2022</v>
      </c>
      <c r="I154" s="24">
        <f>+H154+1</f>
        <v>2023</v>
      </c>
      <c r="J154" s="24">
        <f>+I154+1</f>
        <v>2024</v>
      </c>
      <c r="K154" s="24">
        <f>+J154+1</f>
        <v>2025</v>
      </c>
    </row>
    <row r="155" spans="2:11" x14ac:dyDescent="0.35">
      <c r="G155" s="62"/>
      <c r="H155" s="62"/>
    </row>
    <row r="156" spans="2:11" x14ac:dyDescent="0.35">
      <c r="B156" s="37" t="s">
        <v>111</v>
      </c>
      <c r="C156" s="37"/>
      <c r="D156" s="37"/>
      <c r="E156" s="37"/>
      <c r="F156" s="37"/>
      <c r="G156" s="63">
        <v>150</v>
      </c>
      <c r="H156" s="63">
        <f>+G156+25</f>
        <v>175</v>
      </c>
      <c r="I156" s="63">
        <f>+H156+25</f>
        <v>200</v>
      </c>
      <c r="J156" s="63">
        <f>+I156+25</f>
        <v>225</v>
      </c>
      <c r="K156" s="63">
        <f>+J156+25</f>
        <v>250</v>
      </c>
    </row>
    <row r="158" spans="2:11" ht="13.15" x14ac:dyDescent="0.4">
      <c r="B158" s="16" t="s">
        <v>18</v>
      </c>
      <c r="C158" s="16"/>
      <c r="D158" s="16"/>
      <c r="E158" s="16"/>
      <c r="F158" s="16"/>
    </row>
    <row r="159" spans="2:11" x14ac:dyDescent="0.35">
      <c r="B159" s="15" t="s">
        <v>112</v>
      </c>
      <c r="G159" s="43">
        <f>+F28</f>
        <v>0</v>
      </c>
      <c r="H159" s="43">
        <f ca="1">+G161</f>
        <v>0</v>
      </c>
      <c r="I159" s="43">
        <f ca="1">+H161</f>
        <v>0</v>
      </c>
      <c r="J159" s="43">
        <f ca="1">+I161</f>
        <v>0</v>
      </c>
      <c r="K159" s="43">
        <f ca="1">+J161</f>
        <v>0</v>
      </c>
    </row>
    <row r="160" spans="2:11" x14ac:dyDescent="0.35">
      <c r="B160" s="10" t="s">
        <v>97</v>
      </c>
      <c r="C160" s="10"/>
      <c r="D160" s="10"/>
      <c r="E160" s="10"/>
      <c r="F160" s="10"/>
      <c r="G160" s="13">
        <f ca="1">MIN(G165,-MIN(G159,G139))</f>
        <v>0</v>
      </c>
      <c r="H160" s="13">
        <f ca="1">MIN(H165,-MIN(H159,H139))</f>
        <v>0</v>
      </c>
      <c r="I160" s="13">
        <f ca="1">MIN(I165,-MIN(I159,I139))</f>
        <v>0</v>
      </c>
      <c r="J160" s="13">
        <f ca="1">MIN(J165,-MIN(J159,J139))</f>
        <v>0</v>
      </c>
      <c r="K160" s="13">
        <f ca="1">MIN(K165,-MIN(K159,K139))</f>
        <v>0</v>
      </c>
    </row>
    <row r="161" spans="2:11" ht="13.15" x14ac:dyDescent="0.4">
      <c r="B161" s="42" t="s">
        <v>113</v>
      </c>
      <c r="C161" s="42"/>
      <c r="D161" s="42"/>
      <c r="E161" s="42"/>
      <c r="F161" s="42"/>
      <c r="G161" s="56">
        <f ca="1">SUM(G159:G160)</f>
        <v>0</v>
      </c>
      <c r="H161" s="56">
        <f ca="1">SUM(H159:H160)</f>
        <v>0</v>
      </c>
      <c r="I161" s="56">
        <f ca="1">SUM(I159:I160)</f>
        <v>0</v>
      </c>
      <c r="J161" s="56">
        <f ca="1">SUM(J159:J160)</f>
        <v>0</v>
      </c>
      <c r="K161" s="56">
        <f ca="1">SUM(K159:K160)</f>
        <v>0</v>
      </c>
    </row>
    <row r="162" spans="2:11" x14ac:dyDescent="0.35">
      <c r="G162" s="31"/>
      <c r="H162" s="43"/>
      <c r="I162" s="43"/>
      <c r="J162" s="43"/>
      <c r="K162" s="43"/>
    </row>
    <row r="163" spans="2:11" x14ac:dyDescent="0.35">
      <c r="B163" s="52" t="s">
        <v>147</v>
      </c>
      <c r="G163" s="75">
        <f>+ROUND((F216+F217)*75%,-1)</f>
        <v>80</v>
      </c>
      <c r="H163" s="73">
        <f>+G163</f>
        <v>80</v>
      </c>
      <c r="I163" s="73">
        <f t="shared" ref="I163:K163" si="27">+H163</f>
        <v>80</v>
      </c>
      <c r="J163" s="73">
        <f t="shared" si="27"/>
        <v>80</v>
      </c>
      <c r="K163" s="73">
        <f t="shared" si="27"/>
        <v>80</v>
      </c>
    </row>
    <row r="164" spans="2:11" x14ac:dyDescent="0.35">
      <c r="G164" s="31"/>
      <c r="H164" s="43"/>
      <c r="I164" s="43"/>
      <c r="J164" s="43"/>
      <c r="K164" s="43"/>
    </row>
    <row r="165" spans="2:11" x14ac:dyDescent="0.35">
      <c r="B165" s="15" t="s">
        <v>114</v>
      </c>
      <c r="G165" s="73">
        <f>+G163-G159</f>
        <v>80</v>
      </c>
      <c r="H165" s="73">
        <f t="shared" ref="H165:K165" ca="1" si="28">+H163-H159</f>
        <v>80</v>
      </c>
      <c r="I165" s="73">
        <f t="shared" ca="1" si="28"/>
        <v>80</v>
      </c>
      <c r="J165" s="73">
        <f t="shared" ca="1" si="28"/>
        <v>80</v>
      </c>
      <c r="K165" s="73">
        <f t="shared" ca="1" si="28"/>
        <v>80</v>
      </c>
    </row>
    <row r="166" spans="2:11" x14ac:dyDescent="0.35">
      <c r="B166" s="15" t="s">
        <v>115</v>
      </c>
      <c r="G166" s="73">
        <f ca="1">+G165-G160</f>
        <v>80</v>
      </c>
      <c r="H166" s="73">
        <f ca="1">+H165-H160</f>
        <v>80</v>
      </c>
      <c r="I166" s="73">
        <f ca="1">+I165-I160</f>
        <v>80</v>
      </c>
      <c r="J166" s="73">
        <f ca="1">+J165-J160</f>
        <v>80</v>
      </c>
      <c r="K166" s="73">
        <f ca="1">+K165-K160</f>
        <v>80</v>
      </c>
    </row>
    <row r="167" spans="2:11" x14ac:dyDescent="0.35">
      <c r="G167" s="38"/>
      <c r="H167" s="38"/>
      <c r="I167" s="38"/>
      <c r="J167" s="38"/>
      <c r="K167" s="38"/>
    </row>
    <row r="168" spans="2:11" x14ac:dyDescent="0.35">
      <c r="B168" s="15" t="s">
        <v>116</v>
      </c>
      <c r="G168" s="64">
        <f>MAX($H$18,G$156/10000)+($G$18/10000)</f>
        <v>5.5E-2</v>
      </c>
      <c r="H168" s="64">
        <f>MAX($H$18,H$156/10000)+($G$18/10000)</f>
        <v>5.7500000000000002E-2</v>
      </c>
      <c r="I168" s="64">
        <f>MAX($H$18,I$156/10000)+($G$18/10000)</f>
        <v>0.06</v>
      </c>
      <c r="J168" s="64">
        <f>MAX($H$18,J$156/10000)+($G$18/10000)</f>
        <v>6.25E-2</v>
      </c>
      <c r="K168" s="64">
        <f>MAX($H$18,K$156/10000)+($G$18/10000)</f>
        <v>6.5000000000000002E-2</v>
      </c>
    </row>
    <row r="169" spans="2:11" x14ac:dyDescent="0.35">
      <c r="B169" s="15" t="s">
        <v>117</v>
      </c>
      <c r="G169" s="43">
        <f ca="1">IF($K$14=1,AVERAGE(G159,G161)*G168,0)</f>
        <v>0</v>
      </c>
      <c r="H169" s="43">
        <f t="shared" ref="H169:K169" ca="1" si="29">IF($K$14=1,AVERAGE(H159,H161)*H168,0)</f>
        <v>0</v>
      </c>
      <c r="I169" s="43">
        <f t="shared" ca="1" si="29"/>
        <v>0</v>
      </c>
      <c r="J169" s="43">
        <f t="shared" ca="1" si="29"/>
        <v>0</v>
      </c>
      <c r="K169" s="43">
        <f t="shared" ca="1" si="29"/>
        <v>0</v>
      </c>
    </row>
    <row r="170" spans="2:11" x14ac:dyDescent="0.35">
      <c r="G170" s="38"/>
      <c r="H170" s="38"/>
      <c r="I170" s="38"/>
      <c r="J170" s="38"/>
      <c r="K170" s="38"/>
    </row>
    <row r="171" spans="2:11" x14ac:dyDescent="0.35">
      <c r="B171" s="15" t="s">
        <v>118</v>
      </c>
      <c r="G171" s="65">
        <v>2.5000000000000001E-3</v>
      </c>
      <c r="H171" s="66">
        <f>+G171</f>
        <v>2.5000000000000001E-3</v>
      </c>
      <c r="I171" s="66">
        <f>+H171</f>
        <v>2.5000000000000001E-3</v>
      </c>
      <c r="J171" s="66">
        <f>+I171</f>
        <v>2.5000000000000001E-3</v>
      </c>
      <c r="K171" s="66">
        <f>+J171</f>
        <v>2.5000000000000001E-3</v>
      </c>
    </row>
    <row r="172" spans="2:11" x14ac:dyDescent="0.35">
      <c r="B172" s="15" t="s">
        <v>119</v>
      </c>
      <c r="G172" s="95">
        <f ca="1">+IF($K$14=1,AVERAGE(G165,G166)*G171,0)</f>
        <v>0.2</v>
      </c>
      <c r="H172" s="95">
        <f t="shared" ref="H172:K172" ca="1" si="30">+IF($K$14=1,AVERAGE(H165,H166)*H171,0)</f>
        <v>0.2</v>
      </c>
      <c r="I172" s="95">
        <f t="shared" ca="1" si="30"/>
        <v>0.2</v>
      </c>
      <c r="J172" s="95">
        <f t="shared" ca="1" si="30"/>
        <v>0.2</v>
      </c>
      <c r="K172" s="95">
        <f t="shared" ca="1" si="30"/>
        <v>0.2</v>
      </c>
    </row>
    <row r="173" spans="2:11" x14ac:dyDescent="0.35">
      <c r="G173" s="38"/>
      <c r="H173" s="38"/>
      <c r="I173" s="38"/>
      <c r="J173" s="38"/>
      <c r="K173" s="38"/>
    </row>
    <row r="174" spans="2:11" ht="13.15" x14ac:dyDescent="0.4">
      <c r="B174" s="16" t="s">
        <v>160</v>
      </c>
      <c r="C174" s="16"/>
      <c r="D174" s="16"/>
      <c r="E174" s="16"/>
      <c r="F174" s="16"/>
      <c r="G174" s="38"/>
      <c r="H174" s="38"/>
      <c r="I174" s="38"/>
      <c r="J174" s="38"/>
      <c r="K174" s="38"/>
    </row>
    <row r="175" spans="2:11" x14ac:dyDescent="0.35">
      <c r="B175" s="15" t="s">
        <v>112</v>
      </c>
      <c r="G175" s="73">
        <f>+F29</f>
        <v>175</v>
      </c>
      <c r="H175" s="73">
        <f ca="1">+G178</f>
        <v>165.15538323845601</v>
      </c>
      <c r="I175" s="73">
        <f ca="1">+H178</f>
        <v>151.98172772260483</v>
      </c>
      <c r="J175" s="73">
        <f ca="1">+I178</f>
        <v>134.86655161409917</v>
      </c>
      <c r="K175" s="73">
        <f t="shared" ref="K175" ca="1" si="31">+J178</f>
        <v>113.28845659011293</v>
      </c>
    </row>
    <row r="176" spans="2:11" x14ac:dyDescent="0.35">
      <c r="B176" s="15" t="s">
        <v>95</v>
      </c>
      <c r="G176" s="72">
        <f>-MIN($F$29*$I$19,G175)</f>
        <v>-8.75</v>
      </c>
      <c r="H176" s="72">
        <f t="shared" ref="H176:K176" ca="1" si="32">-MIN($F$29*$I$19,H175)</f>
        <v>-8.75</v>
      </c>
      <c r="I176" s="72">
        <f t="shared" ca="1" si="32"/>
        <v>-8.75</v>
      </c>
      <c r="J176" s="72">
        <f t="shared" ca="1" si="32"/>
        <v>-8.75</v>
      </c>
      <c r="K176" s="72">
        <f t="shared" ca="1" si="32"/>
        <v>-8.75</v>
      </c>
    </row>
    <row r="177" spans="2:11" x14ac:dyDescent="0.35">
      <c r="B177" s="10" t="s">
        <v>131</v>
      </c>
      <c r="C177" s="10"/>
      <c r="D177" s="10"/>
      <c r="E177" s="10"/>
      <c r="F177" s="10"/>
      <c r="G177" s="78">
        <f t="shared" ref="G177" ca="1" si="33">-MIN(SUM(G175:G176),G141)</f>
        <v>-1.0946167615439908</v>
      </c>
      <c r="H177" s="78">
        <f t="shared" ref="H177" ca="1" si="34">-MIN(SUM(H175:H176),H141)</f>
        <v>-4.4236555158511948</v>
      </c>
      <c r="I177" s="78">
        <f t="shared" ref="I177" ca="1" si="35">-MIN(SUM(I175:I176),I141)</f>
        <v>-8.3651761085056613</v>
      </c>
      <c r="J177" s="78">
        <f t="shared" ref="J177" ca="1" si="36">-MIN(SUM(J175:J176),J141)</f>
        <v>-12.828095023986201</v>
      </c>
      <c r="K177" s="78">
        <f t="shared" ref="K177" ca="1" si="37">-MIN(SUM(K175:K176),K141)</f>
        <v>-18.228102403978607</v>
      </c>
    </row>
    <row r="178" spans="2:11" ht="13.15" x14ac:dyDescent="0.4">
      <c r="B178" s="42" t="s">
        <v>113</v>
      </c>
      <c r="C178" s="42"/>
      <c r="D178" s="42"/>
      <c r="E178" s="42"/>
      <c r="F178" s="42"/>
      <c r="G178" s="74">
        <f ca="1">SUM(G175:G177)</f>
        <v>165.15538323845601</v>
      </c>
      <c r="H178" s="74">
        <f t="shared" ref="H178:K178" ca="1" si="38">SUM(H175:H177)</f>
        <v>151.98172772260483</v>
      </c>
      <c r="I178" s="74">
        <f t="shared" ca="1" si="38"/>
        <v>134.86655161409917</v>
      </c>
      <c r="J178" s="74">
        <f t="shared" ca="1" si="38"/>
        <v>113.28845659011296</v>
      </c>
      <c r="K178" s="74">
        <f t="shared" ca="1" si="38"/>
        <v>86.310354186134319</v>
      </c>
    </row>
    <row r="179" spans="2:11" x14ac:dyDescent="0.35">
      <c r="G179" s="38"/>
      <c r="H179" s="38"/>
      <c r="I179" s="38"/>
      <c r="J179" s="38"/>
      <c r="K179" s="38"/>
    </row>
    <row r="180" spans="2:11" x14ac:dyDescent="0.35">
      <c r="B180" s="15" t="s">
        <v>161</v>
      </c>
      <c r="G180" s="64">
        <f>MAX($H$19,G$156/10000)+($G$19/10000)</f>
        <v>0.06</v>
      </c>
      <c r="H180" s="64">
        <f>MAX($H$19,H$156/10000)+($G$19/10000)</f>
        <v>0.06</v>
      </c>
      <c r="I180" s="64">
        <f>MAX($H$19,I$156/10000)+($G$19/10000)</f>
        <v>0.06</v>
      </c>
      <c r="J180" s="64">
        <f>MAX($H$19,J$156/10000)+($G$19/10000)</f>
        <v>6.25E-2</v>
      </c>
      <c r="K180" s="64">
        <f>MAX($H$19,K$156/10000)+($G$19/10000)</f>
        <v>6.5000000000000002E-2</v>
      </c>
    </row>
    <row r="181" spans="2:11" x14ac:dyDescent="0.35">
      <c r="B181" s="15" t="s">
        <v>162</v>
      </c>
      <c r="G181" s="73">
        <f ca="1">IF($K$14=1,AVERAGE(G175,G178)*G180,0)</f>
        <v>10.20466149715368</v>
      </c>
      <c r="H181" s="73">
        <f t="shared" ref="H181:K181" ca="1" si="39">IF($K$14=1,AVERAGE(H175,H178)*H180,0)</f>
        <v>9.514113328831824</v>
      </c>
      <c r="I181" s="73">
        <f t="shared" ca="1" si="39"/>
        <v>8.6054483801011195</v>
      </c>
      <c r="J181" s="73">
        <f t="shared" ca="1" si="39"/>
        <v>7.7548440063816289</v>
      </c>
      <c r="K181" s="73">
        <f t="shared" ca="1" si="39"/>
        <v>6.4869613502280359</v>
      </c>
    </row>
    <row r="182" spans="2:11" x14ac:dyDescent="0.35">
      <c r="G182" s="38"/>
      <c r="H182" s="38"/>
      <c r="I182" s="38"/>
      <c r="J182" s="38"/>
      <c r="K182" s="38"/>
    </row>
    <row r="183" spans="2:11" ht="13.15" x14ac:dyDescent="0.4">
      <c r="B183" s="16" t="s">
        <v>19</v>
      </c>
      <c r="C183" s="16"/>
      <c r="D183" s="16"/>
      <c r="E183" s="16"/>
      <c r="F183" s="16"/>
      <c r="G183" s="38"/>
      <c r="H183" s="38"/>
      <c r="I183" s="38"/>
      <c r="J183" s="38"/>
      <c r="K183" s="38"/>
    </row>
    <row r="184" spans="2:11" x14ac:dyDescent="0.35">
      <c r="B184" s="15" t="s">
        <v>112</v>
      </c>
      <c r="G184" s="73">
        <f>+F30</f>
        <v>75</v>
      </c>
      <c r="H184" s="73">
        <f>+G186</f>
        <v>75</v>
      </c>
      <c r="I184" s="73">
        <f>+H186</f>
        <v>75</v>
      </c>
      <c r="J184" s="73">
        <f>+I186</f>
        <v>75</v>
      </c>
      <c r="K184" s="73">
        <f>+J186</f>
        <v>75</v>
      </c>
    </row>
    <row r="185" spans="2:11" x14ac:dyDescent="0.35">
      <c r="B185" s="10" t="s">
        <v>95</v>
      </c>
      <c r="C185" s="10"/>
      <c r="D185" s="10"/>
      <c r="E185" s="10"/>
      <c r="F185" s="10"/>
      <c r="G185" s="78">
        <f>-MIN($F$30*$I$20,G184)</f>
        <v>0</v>
      </c>
      <c r="H185" s="78">
        <f t="shared" ref="H185:K185" si="40">-MIN($F$30*$I$20,H184)</f>
        <v>0</v>
      </c>
      <c r="I185" s="78">
        <f t="shared" si="40"/>
        <v>0</v>
      </c>
      <c r="J185" s="78">
        <f t="shared" si="40"/>
        <v>0</v>
      </c>
      <c r="K185" s="78">
        <f t="shared" si="40"/>
        <v>0</v>
      </c>
    </row>
    <row r="186" spans="2:11" ht="13.15" x14ac:dyDescent="0.4">
      <c r="B186" s="42" t="s">
        <v>113</v>
      </c>
      <c r="C186" s="42"/>
      <c r="D186" s="42"/>
      <c r="E186" s="42"/>
      <c r="F186" s="42"/>
      <c r="G186" s="74">
        <f>SUM(G184:G185)</f>
        <v>75</v>
      </c>
      <c r="H186" s="74">
        <f>SUM(H184:H185)</f>
        <v>75</v>
      </c>
      <c r="I186" s="74">
        <f>SUM(I184:I185)</f>
        <v>75</v>
      </c>
      <c r="J186" s="74">
        <f>SUM(J184:J185)</f>
        <v>75</v>
      </c>
      <c r="K186" s="74">
        <f>SUM(K184:K185)</f>
        <v>75</v>
      </c>
    </row>
    <row r="187" spans="2:11" x14ac:dyDescent="0.35">
      <c r="G187" s="38"/>
      <c r="H187" s="38"/>
      <c r="I187" s="38"/>
      <c r="J187" s="38"/>
      <c r="K187" s="38"/>
    </row>
    <row r="188" spans="2:11" x14ac:dyDescent="0.35">
      <c r="B188" s="15" t="s">
        <v>120</v>
      </c>
      <c r="G188" s="64">
        <f>+$G$20</f>
        <v>7.0000000000000007E-2</v>
      </c>
      <c r="H188" s="64">
        <f>+$G$20</f>
        <v>7.0000000000000007E-2</v>
      </c>
      <c r="I188" s="64">
        <f>+$G$20</f>
        <v>7.0000000000000007E-2</v>
      </c>
      <c r="J188" s="64">
        <f>+$G$20</f>
        <v>7.0000000000000007E-2</v>
      </c>
      <c r="K188" s="64">
        <f>+$G$20</f>
        <v>7.0000000000000007E-2</v>
      </c>
    </row>
    <row r="189" spans="2:11" x14ac:dyDescent="0.35">
      <c r="B189" s="15" t="s">
        <v>121</v>
      </c>
      <c r="G189" s="43">
        <f>+IF($K$14=1,AVERAGE(G184,G186)*G188,0)</f>
        <v>5.2500000000000009</v>
      </c>
      <c r="H189" s="43">
        <f t="shared" ref="H189:K189" si="41">+IF($K$14=1,AVERAGE(H184,H186)*H188,0)</f>
        <v>5.2500000000000009</v>
      </c>
      <c r="I189" s="43">
        <f t="shared" si="41"/>
        <v>5.2500000000000009</v>
      </c>
      <c r="J189" s="43">
        <f t="shared" si="41"/>
        <v>5.2500000000000009</v>
      </c>
      <c r="K189" s="43">
        <f t="shared" si="41"/>
        <v>5.2500000000000009</v>
      </c>
    </row>
    <row r="190" spans="2:11" x14ac:dyDescent="0.35">
      <c r="G190" s="43"/>
      <c r="H190" s="43"/>
      <c r="I190" s="43"/>
      <c r="J190" s="43"/>
      <c r="K190" s="43"/>
    </row>
    <row r="191" spans="2:11" ht="13.15" x14ac:dyDescent="0.4">
      <c r="B191" s="16" t="s">
        <v>28</v>
      </c>
      <c r="C191" s="16"/>
      <c r="D191" s="16"/>
      <c r="E191" s="16"/>
      <c r="F191" s="16"/>
      <c r="G191" s="38"/>
      <c r="H191" s="38"/>
      <c r="I191" s="38"/>
      <c r="J191" s="38"/>
      <c r="K191" s="38"/>
    </row>
    <row r="192" spans="2:11" x14ac:dyDescent="0.35">
      <c r="B192" s="15" t="s">
        <v>112</v>
      </c>
      <c r="G192" s="73">
        <f>+F31</f>
        <v>50</v>
      </c>
      <c r="H192" s="73">
        <f>+G195</f>
        <v>52</v>
      </c>
      <c r="I192" s="73">
        <f>+H195</f>
        <v>54.08</v>
      </c>
      <c r="J192" s="73">
        <f>+I195</f>
        <v>56.243200000000002</v>
      </c>
      <c r="K192" s="73">
        <f>+J195</f>
        <v>58.492927999999999</v>
      </c>
    </row>
    <row r="193" spans="2:11" x14ac:dyDescent="0.35">
      <c r="B193" s="15" t="s">
        <v>95</v>
      </c>
      <c r="G193" s="72">
        <f>-MIN($F$31*$I$21,G192)</f>
        <v>0</v>
      </c>
      <c r="H193" s="72">
        <f t="shared" ref="H193:K193" si="42">-MIN($F$31*$I$21,H192)</f>
        <v>0</v>
      </c>
      <c r="I193" s="72">
        <f t="shared" si="42"/>
        <v>0</v>
      </c>
      <c r="J193" s="72">
        <f t="shared" si="42"/>
        <v>0</v>
      </c>
      <c r="K193" s="72">
        <f t="shared" si="42"/>
        <v>0</v>
      </c>
    </row>
    <row r="194" spans="2:11" x14ac:dyDescent="0.35">
      <c r="B194" s="10" t="s">
        <v>122</v>
      </c>
      <c r="C194" s="10"/>
      <c r="D194" s="10"/>
      <c r="E194" s="10"/>
      <c r="F194" s="10"/>
      <c r="G194" s="78">
        <f>+G201</f>
        <v>2</v>
      </c>
      <c r="H194" s="78">
        <f t="shared" ref="H194:K194" si="43">+H201</f>
        <v>2.08</v>
      </c>
      <c r="I194" s="78">
        <f t="shared" si="43"/>
        <v>2.1631999999999998</v>
      </c>
      <c r="J194" s="78">
        <f t="shared" si="43"/>
        <v>2.2497280000000002</v>
      </c>
      <c r="K194" s="78">
        <f t="shared" si="43"/>
        <v>2.33971712</v>
      </c>
    </row>
    <row r="195" spans="2:11" ht="13.15" x14ac:dyDescent="0.4">
      <c r="B195" s="42" t="s">
        <v>113</v>
      </c>
      <c r="C195" s="42"/>
      <c r="D195" s="42"/>
      <c r="E195" s="42"/>
      <c r="F195" s="42"/>
      <c r="G195" s="74">
        <f>SUM(G192:G194)</f>
        <v>52</v>
      </c>
      <c r="H195" s="74">
        <f>SUM(H192:H194)</f>
        <v>54.08</v>
      </c>
      <c r="I195" s="74">
        <f>SUM(I192:I194)</f>
        <v>56.243200000000002</v>
      </c>
      <c r="J195" s="74">
        <f>SUM(J192:J194)</f>
        <v>58.492927999999999</v>
      </c>
      <c r="K195" s="74">
        <f>SUM(K192:K194)</f>
        <v>60.832645120000002</v>
      </c>
    </row>
    <row r="196" spans="2:11" ht="13.15" x14ac:dyDescent="0.4">
      <c r="B196" s="42"/>
      <c r="C196" s="42"/>
      <c r="D196" s="42"/>
      <c r="E196" s="42"/>
      <c r="F196" s="42"/>
      <c r="G196" s="73"/>
      <c r="H196" s="73"/>
      <c r="I196" s="73"/>
      <c r="J196" s="73"/>
      <c r="K196" s="73"/>
    </row>
    <row r="197" spans="2:11" x14ac:dyDescent="0.35">
      <c r="B197" s="15" t="s">
        <v>140</v>
      </c>
      <c r="G197" s="77">
        <v>8.5000000000000006E-2</v>
      </c>
      <c r="H197" s="64">
        <f>+G197</f>
        <v>8.5000000000000006E-2</v>
      </c>
      <c r="I197" s="64">
        <f t="shared" ref="I197:K197" si="44">+H197</f>
        <v>8.5000000000000006E-2</v>
      </c>
      <c r="J197" s="64">
        <f t="shared" si="44"/>
        <v>8.5000000000000006E-2</v>
      </c>
      <c r="K197" s="64">
        <f t="shared" si="44"/>
        <v>8.5000000000000006E-2</v>
      </c>
    </row>
    <row r="198" spans="2:11" x14ac:dyDescent="0.35">
      <c r="B198" s="15" t="s">
        <v>138</v>
      </c>
      <c r="G198" s="77">
        <v>0.04</v>
      </c>
      <c r="H198" s="64">
        <f>+G198</f>
        <v>0.04</v>
      </c>
      <c r="I198" s="64">
        <f t="shared" ref="I198:K198" si="45">+H198</f>
        <v>0.04</v>
      </c>
      <c r="J198" s="64">
        <f t="shared" si="45"/>
        <v>0.04</v>
      </c>
      <c r="K198" s="64">
        <f t="shared" si="45"/>
        <v>0.04</v>
      </c>
    </row>
    <row r="200" spans="2:11" ht="13.15" x14ac:dyDescent="0.4">
      <c r="B200" s="15" t="s">
        <v>137</v>
      </c>
      <c r="F200" s="42"/>
      <c r="G200" s="73">
        <f>+IF($K$14=1,AVERAGE(G192,G195)*G197,0)</f>
        <v>4.335</v>
      </c>
      <c r="H200" s="73">
        <f>+IF($K$14=1,AVERAGE(H192,H195)*H197,0)</f>
        <v>4.5084</v>
      </c>
      <c r="I200" s="73">
        <f>+IF($K$14=1,AVERAGE(I192,I195)*I197,0)</f>
        <v>4.6887360000000005</v>
      </c>
      <c r="J200" s="73">
        <f>+IF($K$14=1,AVERAGE(J192,J195)*J197,0)</f>
        <v>4.8762854400000011</v>
      </c>
      <c r="K200" s="73">
        <f>+IF($K$14=1,AVERAGE(K192,K195)*K197,0)</f>
        <v>5.0713368576000004</v>
      </c>
    </row>
    <row r="201" spans="2:11" x14ac:dyDescent="0.35">
      <c r="B201" s="15" t="s">
        <v>136</v>
      </c>
      <c r="G201" s="73">
        <f>+G198*(G192-G193)</f>
        <v>2</v>
      </c>
      <c r="H201" s="73">
        <f t="shared" ref="H201:K201" si="46">+H198*(H192-H193)</f>
        <v>2.08</v>
      </c>
      <c r="I201" s="73">
        <f t="shared" si="46"/>
        <v>2.1631999999999998</v>
      </c>
      <c r="J201" s="73">
        <f t="shared" si="46"/>
        <v>2.2497280000000002</v>
      </c>
      <c r="K201" s="73">
        <f t="shared" si="46"/>
        <v>2.33971712</v>
      </c>
    </row>
    <row r="203" spans="2:11" ht="13.15" x14ac:dyDescent="0.4">
      <c r="B203" s="121" t="s">
        <v>188</v>
      </c>
      <c r="C203" s="121"/>
      <c r="D203" s="121"/>
      <c r="E203" s="121"/>
      <c r="F203" s="121"/>
      <c r="G203" s="123"/>
      <c r="H203" s="123"/>
      <c r="I203" s="123"/>
      <c r="J203" s="123"/>
      <c r="K203" s="123"/>
    </row>
    <row r="204" spans="2:11" x14ac:dyDescent="0.35">
      <c r="B204" s="15" t="s">
        <v>18</v>
      </c>
      <c r="G204" s="73">
        <f ca="1">+G169</f>
        <v>0</v>
      </c>
      <c r="H204" s="73">
        <f ca="1">+H169</f>
        <v>0</v>
      </c>
      <c r="I204" s="73">
        <f ca="1">+I169</f>
        <v>0</v>
      </c>
      <c r="J204" s="73">
        <f ca="1">+J169</f>
        <v>0</v>
      </c>
      <c r="K204" s="73">
        <f ca="1">+K169</f>
        <v>0</v>
      </c>
    </row>
    <row r="205" spans="2:11" x14ac:dyDescent="0.35">
      <c r="B205" s="15" t="s">
        <v>119</v>
      </c>
      <c r="G205" s="96">
        <f ca="1">+G172</f>
        <v>0.2</v>
      </c>
      <c r="H205" s="96">
        <f ca="1">+H172</f>
        <v>0.2</v>
      </c>
      <c r="I205" s="96">
        <f ca="1">+I172</f>
        <v>0.2</v>
      </c>
      <c r="J205" s="96">
        <f ca="1">+J172</f>
        <v>0.2</v>
      </c>
      <c r="K205" s="96">
        <f ca="1">+K172</f>
        <v>0.2</v>
      </c>
    </row>
    <row r="206" spans="2:11" x14ac:dyDescent="0.35">
      <c r="B206" s="15" t="s">
        <v>160</v>
      </c>
      <c r="G206" s="72">
        <f ca="1">+G181</f>
        <v>10.20466149715368</v>
      </c>
      <c r="H206" s="72">
        <f ca="1">+H181</f>
        <v>9.514113328831824</v>
      </c>
      <c r="I206" s="72">
        <f ca="1">+I181</f>
        <v>8.6054483801011195</v>
      </c>
      <c r="J206" s="72">
        <f ca="1">+J181</f>
        <v>7.7548440063816289</v>
      </c>
      <c r="K206" s="72">
        <f ca="1">+K181</f>
        <v>6.4869613502280359</v>
      </c>
    </row>
    <row r="207" spans="2:11" x14ac:dyDescent="0.35">
      <c r="B207" s="15" t="s">
        <v>19</v>
      </c>
      <c r="G207" s="72">
        <f>+G189</f>
        <v>5.2500000000000009</v>
      </c>
      <c r="H207" s="72">
        <f>+H189</f>
        <v>5.2500000000000009</v>
      </c>
      <c r="I207" s="72">
        <f>+I189</f>
        <v>5.2500000000000009</v>
      </c>
      <c r="J207" s="72">
        <f>+J189</f>
        <v>5.2500000000000009</v>
      </c>
      <c r="K207" s="72">
        <f>+K189</f>
        <v>5.2500000000000009</v>
      </c>
    </row>
    <row r="208" spans="2:11" x14ac:dyDescent="0.35">
      <c r="B208" s="15" t="s">
        <v>28</v>
      </c>
      <c r="G208" s="72">
        <f>+SUM(G200:G201)</f>
        <v>6.335</v>
      </c>
      <c r="H208" s="72">
        <f t="shared" ref="H208:K208" si="47">+SUM(H200:H201)</f>
        <v>6.5884</v>
      </c>
      <c r="I208" s="72">
        <f t="shared" si="47"/>
        <v>6.8519360000000002</v>
      </c>
      <c r="J208" s="72">
        <f t="shared" si="47"/>
        <v>7.1260134400000013</v>
      </c>
      <c r="K208" s="72">
        <f t="shared" si="47"/>
        <v>7.4110539776</v>
      </c>
    </row>
    <row r="209" spans="1:12" s="42" customFormat="1" ht="13.15" x14ac:dyDescent="0.4">
      <c r="A209" s="15"/>
      <c r="B209" s="90" t="s">
        <v>132</v>
      </c>
      <c r="C209" s="90"/>
      <c r="D209" s="90"/>
      <c r="E209" s="90"/>
      <c r="F209" s="90"/>
      <c r="G209" s="91">
        <f ca="1">+SUM(G204:G208)</f>
        <v>21.98966149715368</v>
      </c>
      <c r="H209" s="91">
        <f t="shared" ref="H209:K209" ca="1" si="48">+SUM(H204:H208)</f>
        <v>21.552513328831825</v>
      </c>
      <c r="I209" s="91">
        <f t="shared" ca="1" si="48"/>
        <v>20.907384380101121</v>
      </c>
      <c r="J209" s="91">
        <f t="shared" ca="1" si="48"/>
        <v>20.330857446381632</v>
      </c>
      <c r="K209" s="91">
        <f t="shared" ca="1" si="48"/>
        <v>19.348015327828037</v>
      </c>
    </row>
    <row r="210" spans="1:12" s="42" customFormat="1" ht="13.15" x14ac:dyDescent="0.4">
      <c r="A210" s="15"/>
      <c r="G210" s="29"/>
      <c r="H210" s="29"/>
      <c r="I210" s="29"/>
      <c r="J210" s="29"/>
      <c r="K210" s="29"/>
    </row>
    <row r="211" spans="1:12" s="42" customFormat="1" ht="13.15" x14ac:dyDescent="0.4">
      <c r="A211" s="15"/>
      <c r="B211" s="34" t="s">
        <v>151</v>
      </c>
      <c r="C211" s="34"/>
      <c r="D211" s="34"/>
      <c r="E211" s="34"/>
      <c r="F211" s="34"/>
      <c r="G211" s="34"/>
      <c r="H211" s="34"/>
      <c r="I211" s="34"/>
      <c r="J211" s="34"/>
      <c r="K211" s="34"/>
    </row>
    <row r="212" spans="1:12" ht="13.15" x14ac:dyDescent="0.4">
      <c r="G212" s="29"/>
      <c r="H212" s="29"/>
      <c r="I212" s="29"/>
      <c r="J212" s="29"/>
      <c r="K212" s="29"/>
    </row>
    <row r="213" spans="1:12" ht="13.15" x14ac:dyDescent="0.4">
      <c r="B213" s="19" t="s">
        <v>82</v>
      </c>
      <c r="C213" s="19"/>
      <c r="D213" s="19"/>
      <c r="E213" s="19"/>
      <c r="F213" s="23">
        <v>2020</v>
      </c>
      <c r="G213" s="24">
        <v>2021</v>
      </c>
      <c r="H213" s="24">
        <f>+G213+1</f>
        <v>2022</v>
      </c>
      <c r="I213" s="24">
        <f>+H213+1</f>
        <v>2023</v>
      </c>
      <c r="J213" s="24">
        <f>+I213+1</f>
        <v>2024</v>
      </c>
      <c r="K213" s="24">
        <f>+J213+1</f>
        <v>2025</v>
      </c>
    </row>
    <row r="215" spans="1:12" x14ac:dyDescent="0.35">
      <c r="B215" s="15" t="s">
        <v>50</v>
      </c>
      <c r="F215" s="73">
        <f>+K60</f>
        <v>5</v>
      </c>
      <c r="G215" s="73">
        <f ca="1">+G147</f>
        <v>5</v>
      </c>
      <c r="H215" s="73">
        <f ca="1">+H147</f>
        <v>5</v>
      </c>
      <c r="I215" s="73">
        <f ca="1">+I147</f>
        <v>5.0000000000000036</v>
      </c>
      <c r="J215" s="73">
        <f ca="1">+J147</f>
        <v>5</v>
      </c>
      <c r="K215" s="73">
        <f ca="1">+K147</f>
        <v>5</v>
      </c>
      <c r="L215" s="36"/>
    </row>
    <row r="216" spans="1:12" x14ac:dyDescent="0.35">
      <c r="B216" s="15" t="s">
        <v>51</v>
      </c>
      <c r="F216" s="72">
        <f>+K61</f>
        <v>30</v>
      </c>
      <c r="G216" s="72">
        <f>+G251*G95/365</f>
        <v>32.400000000000006</v>
      </c>
      <c r="H216" s="72">
        <f>+H251*H95/365</f>
        <v>35.154000000000003</v>
      </c>
      <c r="I216" s="72">
        <f>+I251*I95/365</f>
        <v>38.317860000000003</v>
      </c>
      <c r="J216" s="72">
        <f>+J251*J95/365</f>
        <v>41.9580567</v>
      </c>
      <c r="K216" s="72">
        <f>+K251*K95/365</f>
        <v>46.153862370000013</v>
      </c>
      <c r="L216" s="36"/>
    </row>
    <row r="217" spans="1:12" x14ac:dyDescent="0.35">
      <c r="B217" s="15" t="s">
        <v>52</v>
      </c>
      <c r="F217" s="72">
        <f>+K62</f>
        <v>75</v>
      </c>
      <c r="G217" s="72">
        <f>-G252*G96/365</f>
        <v>80.763612244897971</v>
      </c>
      <c r="H217" s="72">
        <f>-H252*H96/365</f>
        <v>87.372038571428561</v>
      </c>
      <c r="I217" s="72">
        <f>-I252*I96/365</f>
        <v>94.955958064285724</v>
      </c>
      <c r="J217" s="72">
        <f>-J252*J96/365</f>
        <v>103.67065152385717</v>
      </c>
      <c r="K217" s="72">
        <f>-K252*K96/365</f>
        <v>113.7009818640536</v>
      </c>
      <c r="L217" s="36"/>
    </row>
    <row r="218" spans="1:12" x14ac:dyDescent="0.35">
      <c r="B218" s="10" t="s">
        <v>53</v>
      </c>
      <c r="C218" s="10"/>
      <c r="D218" s="10"/>
      <c r="E218" s="10"/>
      <c r="F218" s="78">
        <f>+K63</f>
        <v>15</v>
      </c>
      <c r="G218" s="78">
        <f>+G253*G95</f>
        <v>16.200000000000003</v>
      </c>
      <c r="H218" s="78">
        <f>+H253*H95</f>
        <v>17.577000000000002</v>
      </c>
      <c r="I218" s="78">
        <f>+I253*I95</f>
        <v>19.158930000000002</v>
      </c>
      <c r="J218" s="78">
        <f>+J253*J95</f>
        <v>20.979028350000004</v>
      </c>
      <c r="K218" s="78">
        <f>+K253*K95</f>
        <v>23.076931185000007</v>
      </c>
      <c r="L218" s="36"/>
    </row>
    <row r="219" spans="1:12" s="42" customFormat="1" ht="13.15" x14ac:dyDescent="0.4">
      <c r="B219" s="42" t="s">
        <v>54</v>
      </c>
      <c r="F219" s="74">
        <f>SUM(F215:F218)</f>
        <v>125</v>
      </c>
      <c r="G219" s="74">
        <f t="shared" ref="G219:K219" ca="1" si="49">SUM(G215:G218)</f>
        <v>134.36361224489798</v>
      </c>
      <c r="H219" s="74">
        <f t="shared" ca="1" si="49"/>
        <v>145.10303857142856</v>
      </c>
      <c r="I219" s="74">
        <f t="shared" ca="1" si="49"/>
        <v>157.43274806428573</v>
      </c>
      <c r="J219" s="74">
        <f t="shared" ca="1" si="49"/>
        <v>171.60773657385718</v>
      </c>
      <c r="K219" s="74">
        <f t="shared" ca="1" si="49"/>
        <v>187.93177541905362</v>
      </c>
    </row>
    <row r="220" spans="1:12" x14ac:dyDescent="0.35">
      <c r="F220" s="72"/>
      <c r="G220" s="72"/>
      <c r="H220" s="72"/>
      <c r="I220" s="72"/>
      <c r="J220" s="72"/>
      <c r="K220" s="72"/>
    </row>
    <row r="221" spans="1:12" x14ac:dyDescent="0.35">
      <c r="B221" s="15" t="s">
        <v>55</v>
      </c>
      <c r="F221" s="73">
        <f>+K66</f>
        <v>99.6</v>
      </c>
      <c r="G221" s="73">
        <f>+F221-G135-G126-G130</f>
        <v>102.584</v>
      </c>
      <c r="H221" s="73">
        <f>+G221-H135-H126-H130</f>
        <v>105.96274000000001</v>
      </c>
      <c r="I221" s="73">
        <f>+H221-I135-I126-I130</f>
        <v>109.79496660000001</v>
      </c>
      <c r="J221" s="73">
        <f>+I221-J135-J126-J130</f>
        <v>114.14895472700002</v>
      </c>
      <c r="K221" s="73">
        <f>+J221-K135-K126-K130</f>
        <v>119.10434166670002</v>
      </c>
      <c r="L221" s="36"/>
    </row>
    <row r="222" spans="1:12" x14ac:dyDescent="0.35">
      <c r="B222" s="15" t="s">
        <v>56</v>
      </c>
      <c r="F222" s="72">
        <f>+K67</f>
        <v>445.48999999999995</v>
      </c>
      <c r="G222" s="72">
        <f>+F222</f>
        <v>445.48999999999995</v>
      </c>
      <c r="H222" s="72">
        <f t="shared" ref="H222:K222" si="50">+G222</f>
        <v>445.48999999999995</v>
      </c>
      <c r="I222" s="72">
        <f t="shared" si="50"/>
        <v>445.48999999999995</v>
      </c>
      <c r="J222" s="72">
        <f t="shared" si="50"/>
        <v>445.48999999999995</v>
      </c>
      <c r="K222" s="72">
        <f t="shared" si="50"/>
        <v>445.48999999999995</v>
      </c>
      <c r="L222" s="36"/>
    </row>
    <row r="223" spans="1:12" x14ac:dyDescent="0.35">
      <c r="B223" s="10" t="s">
        <v>57</v>
      </c>
      <c r="C223" s="10"/>
      <c r="D223" s="10"/>
      <c r="E223" s="10"/>
      <c r="F223" s="78">
        <f>+K68</f>
        <v>84.800000000000011</v>
      </c>
      <c r="G223" s="78">
        <f>+F223-G129</f>
        <v>81.546666666666681</v>
      </c>
      <c r="H223" s="78">
        <f>+G223-H129</f>
        <v>78.293333333333351</v>
      </c>
      <c r="I223" s="78">
        <f>+H223-I129</f>
        <v>75.04000000000002</v>
      </c>
      <c r="J223" s="78">
        <f>+I223-J129</f>
        <v>71.78666666666669</v>
      </c>
      <c r="K223" s="78">
        <f>+J223-K129</f>
        <v>68.53333333333336</v>
      </c>
      <c r="L223" s="36"/>
    </row>
    <row r="224" spans="1:12" s="42" customFormat="1" ht="13.15" x14ac:dyDescent="0.4">
      <c r="B224" s="42" t="s">
        <v>58</v>
      </c>
      <c r="F224" s="74">
        <f>+SUM(F219,F221:F223)</f>
        <v>754.88999999999987</v>
      </c>
      <c r="G224" s="74">
        <f t="shared" ref="G224:K224" ca="1" si="51">+SUM(G219,G221:G223)</f>
        <v>763.98427891156462</v>
      </c>
      <c r="H224" s="74">
        <f t="shared" ca="1" si="51"/>
        <v>774.84911190476191</v>
      </c>
      <c r="I224" s="74">
        <f t="shared" ca="1" si="51"/>
        <v>787.75771466428569</v>
      </c>
      <c r="J224" s="74">
        <f t="shared" ca="1" si="51"/>
        <v>803.0333579675239</v>
      </c>
      <c r="K224" s="74">
        <f t="shared" ca="1" si="51"/>
        <v>821.05945041908694</v>
      </c>
    </row>
    <row r="225" spans="2:12" x14ac:dyDescent="0.35">
      <c r="F225" s="72"/>
      <c r="G225" s="72"/>
      <c r="H225" s="72"/>
      <c r="I225" s="72"/>
      <c r="J225" s="72"/>
      <c r="K225" s="72"/>
    </row>
    <row r="226" spans="2:12" x14ac:dyDescent="0.35">
      <c r="B226" s="15" t="s">
        <v>18</v>
      </c>
      <c r="F226" s="73">
        <f>+K71</f>
        <v>0</v>
      </c>
      <c r="G226" s="73">
        <f ca="1">+G161</f>
        <v>0</v>
      </c>
      <c r="H226" s="73">
        <f ca="1">+H161</f>
        <v>0</v>
      </c>
      <c r="I226" s="73">
        <f ca="1">+I161</f>
        <v>0</v>
      </c>
      <c r="J226" s="73">
        <f ca="1">+J161</f>
        <v>0</v>
      </c>
      <c r="K226" s="73">
        <f ca="1">+K161</f>
        <v>0</v>
      </c>
      <c r="L226" s="36"/>
    </row>
    <row r="227" spans="2:12" x14ac:dyDescent="0.35">
      <c r="B227" s="15" t="s">
        <v>59</v>
      </c>
      <c r="F227" s="72">
        <f>+K72</f>
        <v>55</v>
      </c>
      <c r="G227" s="72">
        <f>-G254*G96/365</f>
        <v>59.226648979591843</v>
      </c>
      <c r="H227" s="72">
        <f>-H254*H96/365</f>
        <v>64.072828285714294</v>
      </c>
      <c r="I227" s="72">
        <f>-I254*I96/365</f>
        <v>69.634369247142857</v>
      </c>
      <c r="J227" s="72">
        <f>-J254*J96/365</f>
        <v>76.025144450828577</v>
      </c>
      <c r="K227" s="72">
        <f>-K254*K96/365</f>
        <v>83.380720033639292</v>
      </c>
      <c r="L227" s="36"/>
    </row>
    <row r="228" spans="2:12" x14ac:dyDescent="0.35">
      <c r="B228" s="15" t="s">
        <v>60</v>
      </c>
      <c r="F228" s="72">
        <f>+K73</f>
        <v>37</v>
      </c>
      <c r="G228" s="72">
        <f>+G255*G95</f>
        <v>39.96</v>
      </c>
      <c r="H228" s="72">
        <f>+H255*H95</f>
        <v>43.3566</v>
      </c>
      <c r="I228" s="72">
        <f>+I255*I95</f>
        <v>47.258693999999998</v>
      </c>
      <c r="J228" s="72">
        <f>+J255*J95</f>
        <v>51.748269930000006</v>
      </c>
      <c r="K228" s="72">
        <f>+K255*K95</f>
        <v>56.92309692300001</v>
      </c>
      <c r="L228" s="36"/>
    </row>
    <row r="229" spans="2:12" x14ac:dyDescent="0.35">
      <c r="B229" s="10" t="s">
        <v>133</v>
      </c>
      <c r="C229" s="10"/>
      <c r="D229" s="10"/>
      <c r="E229" s="10"/>
      <c r="F229" s="78">
        <f>+K74</f>
        <v>10</v>
      </c>
      <c r="G229" s="78">
        <f>+G256*G95</f>
        <v>10.8</v>
      </c>
      <c r="H229" s="78">
        <f>+H256*H95</f>
        <v>11.718</v>
      </c>
      <c r="I229" s="78">
        <f>+I256*I95</f>
        <v>12.77262</v>
      </c>
      <c r="J229" s="78">
        <f>+J256*J95</f>
        <v>13.986018900000001</v>
      </c>
      <c r="K229" s="78">
        <f>+K256*K95</f>
        <v>15.384620790000003</v>
      </c>
      <c r="L229" s="36"/>
    </row>
    <row r="230" spans="2:12" s="42" customFormat="1" ht="13.15" x14ac:dyDescent="0.4">
      <c r="B230" s="42" t="s">
        <v>61</v>
      </c>
      <c r="F230" s="74">
        <f>SUM(F226:F229)</f>
        <v>102</v>
      </c>
      <c r="G230" s="74">
        <f t="shared" ref="G230:K230" ca="1" si="52">SUM(G226:G229)</f>
        <v>109.98664897959183</v>
      </c>
      <c r="H230" s="74">
        <f t="shared" ca="1" si="52"/>
        <v>119.1474282857143</v>
      </c>
      <c r="I230" s="74">
        <f t="shared" ca="1" si="52"/>
        <v>129.66568324714285</v>
      </c>
      <c r="J230" s="74">
        <f t="shared" ca="1" si="52"/>
        <v>141.75943328082857</v>
      </c>
      <c r="K230" s="74">
        <f t="shared" ca="1" si="52"/>
        <v>155.68843774663932</v>
      </c>
    </row>
    <row r="231" spans="2:12" x14ac:dyDescent="0.35">
      <c r="F231" s="72"/>
      <c r="G231" s="72"/>
      <c r="H231" s="72"/>
      <c r="I231" s="72"/>
      <c r="J231" s="72"/>
      <c r="K231" s="72"/>
    </row>
    <row r="232" spans="2:12" x14ac:dyDescent="0.35">
      <c r="B232" s="15" t="s">
        <v>160</v>
      </c>
      <c r="F232" s="73">
        <f>+K78</f>
        <v>175</v>
      </c>
      <c r="G232" s="73">
        <f ca="1">+G178</f>
        <v>165.15538323845601</v>
      </c>
      <c r="H232" s="73">
        <f ca="1">+H178</f>
        <v>151.98172772260483</v>
      </c>
      <c r="I232" s="73">
        <f ca="1">+I178</f>
        <v>134.86655161409917</v>
      </c>
      <c r="J232" s="73">
        <f ca="1">+J178</f>
        <v>113.28845659011296</v>
      </c>
      <c r="K232" s="73">
        <f ca="1">+K178</f>
        <v>86.310354186134319</v>
      </c>
      <c r="L232" s="36"/>
    </row>
    <row r="233" spans="2:12" x14ac:dyDescent="0.35">
      <c r="B233" s="15" t="s">
        <v>19</v>
      </c>
      <c r="F233" s="72">
        <f>+K79</f>
        <v>75</v>
      </c>
      <c r="G233" s="72">
        <f>+G186</f>
        <v>75</v>
      </c>
      <c r="H233" s="72">
        <f>+H186</f>
        <v>75</v>
      </c>
      <c r="I233" s="72">
        <f>+I186</f>
        <v>75</v>
      </c>
      <c r="J233" s="72">
        <f>+J186</f>
        <v>75</v>
      </c>
      <c r="K233" s="72">
        <f>+K186</f>
        <v>75</v>
      </c>
      <c r="L233" s="36"/>
    </row>
    <row r="234" spans="2:12" x14ac:dyDescent="0.35">
      <c r="B234" s="15" t="s">
        <v>28</v>
      </c>
      <c r="F234" s="72">
        <f>+K80</f>
        <v>50</v>
      </c>
      <c r="G234" s="72">
        <f>+G195</f>
        <v>52</v>
      </c>
      <c r="H234" s="72">
        <f>+H195</f>
        <v>54.08</v>
      </c>
      <c r="I234" s="72">
        <f>+I195</f>
        <v>56.243200000000002</v>
      </c>
      <c r="J234" s="72">
        <f>+J195</f>
        <v>58.492927999999999</v>
      </c>
      <c r="K234" s="72">
        <f>+K195</f>
        <v>60.832645120000002</v>
      </c>
      <c r="L234" s="36"/>
    </row>
    <row r="235" spans="2:12" x14ac:dyDescent="0.35">
      <c r="B235" s="15" t="s">
        <v>63</v>
      </c>
      <c r="F235" s="72">
        <f>+K81</f>
        <v>-7.5</v>
      </c>
      <c r="G235" s="72">
        <f>+F235+G127</f>
        <v>-6.4285714285714288</v>
      </c>
      <c r="H235" s="72">
        <f>+G235+H127</f>
        <v>-5.3571428571428577</v>
      </c>
      <c r="I235" s="72">
        <f>+H235+I127</f>
        <v>-4.2857142857142865</v>
      </c>
      <c r="J235" s="72">
        <f>+I235+J127</f>
        <v>-3.2142857142857153</v>
      </c>
      <c r="K235" s="72">
        <f>+J235+K127</f>
        <v>-2.1428571428571441</v>
      </c>
      <c r="L235" s="36"/>
    </row>
    <row r="236" spans="2:12" x14ac:dyDescent="0.35">
      <c r="B236" s="10" t="s">
        <v>64</v>
      </c>
      <c r="C236" s="10"/>
      <c r="D236" s="10"/>
      <c r="E236" s="10"/>
      <c r="F236" s="78">
        <f>+K82</f>
        <v>22.89</v>
      </c>
      <c r="G236" s="78">
        <f>+F236+G131</f>
        <v>21.170333333333332</v>
      </c>
      <c r="H236" s="78">
        <f t="shared" ref="H236:K236" si="53">+G236+H131</f>
        <v>19.450666666666663</v>
      </c>
      <c r="I236" s="78">
        <f t="shared" si="53"/>
        <v>17.730999999999995</v>
      </c>
      <c r="J236" s="78">
        <f t="shared" si="53"/>
        <v>16.011333333333326</v>
      </c>
      <c r="K236" s="78">
        <f t="shared" si="53"/>
        <v>14.291666666666659</v>
      </c>
      <c r="L236" s="36"/>
    </row>
    <row r="237" spans="2:12" s="42" customFormat="1" ht="13.15" x14ac:dyDescent="0.4">
      <c r="B237" s="42" t="s">
        <v>65</v>
      </c>
      <c r="F237" s="74">
        <f t="shared" ref="F237:K237" si="54">+SUM(F230,F232:F236)</f>
        <v>417.39</v>
      </c>
      <c r="G237" s="74">
        <f t="shared" ca="1" si="54"/>
        <v>416.88379412280972</v>
      </c>
      <c r="H237" s="74">
        <f t="shared" ca="1" si="54"/>
        <v>414.30267981784294</v>
      </c>
      <c r="I237" s="74">
        <f t="shared" ca="1" si="54"/>
        <v>409.22072057552776</v>
      </c>
      <c r="J237" s="74">
        <f t="shared" ca="1" si="54"/>
        <v>401.3378654899891</v>
      </c>
      <c r="K237" s="74">
        <f t="shared" ca="1" si="54"/>
        <v>389.98024657658317</v>
      </c>
    </row>
    <row r="238" spans="2:12" x14ac:dyDescent="0.35">
      <c r="B238" s="10"/>
      <c r="C238" s="10"/>
      <c r="D238" s="10"/>
      <c r="E238" s="10"/>
      <c r="F238" s="78"/>
      <c r="G238" s="78"/>
      <c r="H238" s="78"/>
      <c r="I238" s="78"/>
      <c r="J238" s="78"/>
      <c r="K238" s="78"/>
    </row>
    <row r="239" spans="2:12" s="42" customFormat="1" ht="13.15" x14ac:dyDescent="0.4">
      <c r="B239" s="42" t="s">
        <v>66</v>
      </c>
      <c r="F239" s="74">
        <f>+K85</f>
        <v>337.5</v>
      </c>
      <c r="G239" s="74">
        <f ca="1">F239+G110</f>
        <v>347.1004847887549</v>
      </c>
      <c r="H239" s="74">
        <f ca="1">G239+H110</f>
        <v>360.54643208691897</v>
      </c>
      <c r="I239" s="74">
        <f ca="1">H239+I110</f>
        <v>378.53699408875804</v>
      </c>
      <c r="J239" s="74">
        <f ca="1">I239+J110</f>
        <v>401.69549247753474</v>
      </c>
      <c r="K239" s="74">
        <f ca="1">J239+K110</f>
        <v>431.07920384250383</v>
      </c>
    </row>
    <row r="240" spans="2:12" x14ac:dyDescent="0.35">
      <c r="B240" s="10"/>
      <c r="C240" s="10"/>
      <c r="D240" s="10"/>
      <c r="E240" s="10"/>
      <c r="F240" s="78"/>
      <c r="G240" s="78"/>
      <c r="H240" s="78"/>
      <c r="I240" s="78"/>
      <c r="J240" s="78"/>
      <c r="K240" s="78"/>
    </row>
    <row r="241" spans="2:11" s="42" customFormat="1" ht="13.15" x14ac:dyDescent="0.4">
      <c r="B241" s="42" t="s">
        <v>167</v>
      </c>
      <c r="F241" s="74">
        <f>+SUM(F237,F239)</f>
        <v>754.89</v>
      </c>
      <c r="G241" s="74">
        <f t="shared" ref="G241:K241" ca="1" si="55">+SUM(G237,G239)</f>
        <v>763.98427891156462</v>
      </c>
      <c r="H241" s="74">
        <f t="shared" ca="1" si="55"/>
        <v>774.84911190476191</v>
      </c>
      <c r="I241" s="74">
        <f t="shared" ca="1" si="55"/>
        <v>787.7577146642858</v>
      </c>
      <c r="J241" s="74">
        <f t="shared" ca="1" si="55"/>
        <v>803.0333579675239</v>
      </c>
      <c r="K241" s="74">
        <f t="shared" ca="1" si="55"/>
        <v>821.05945041908694</v>
      </c>
    </row>
    <row r="242" spans="2:11" x14ac:dyDescent="0.35">
      <c r="F242" s="72"/>
      <c r="G242" s="72"/>
      <c r="H242" s="72"/>
      <c r="I242" s="72"/>
      <c r="J242" s="72"/>
      <c r="K242" s="72"/>
    </row>
    <row r="243" spans="2:11" x14ac:dyDescent="0.35">
      <c r="B243" s="37" t="s">
        <v>68</v>
      </c>
      <c r="C243" s="37"/>
      <c r="D243" s="37"/>
      <c r="E243" s="37"/>
      <c r="F243" s="72">
        <f t="shared" ref="F243:I243" si="56">+F224-F241</f>
        <v>0</v>
      </c>
      <c r="G243" s="72">
        <f t="shared" ca="1" si="56"/>
        <v>0</v>
      </c>
      <c r="H243" s="72">
        <f t="shared" ca="1" si="56"/>
        <v>0</v>
      </c>
      <c r="I243" s="72">
        <f t="shared" ca="1" si="56"/>
        <v>0</v>
      </c>
      <c r="J243" s="72">
        <f ca="1">+J224-J241</f>
        <v>0</v>
      </c>
      <c r="K243" s="72">
        <f ca="1">+K224-K241</f>
        <v>0</v>
      </c>
    </row>
    <row r="244" spans="2:11" x14ac:dyDescent="0.35">
      <c r="B244" s="37"/>
      <c r="C244" s="37"/>
      <c r="D244" s="37"/>
      <c r="E244" s="37"/>
      <c r="F244" s="72"/>
      <c r="G244" s="72"/>
      <c r="H244" s="72"/>
      <c r="I244" s="72"/>
      <c r="J244" s="72"/>
      <c r="K244" s="72"/>
    </row>
    <row r="245" spans="2:11" ht="13.15" x14ac:dyDescent="0.4">
      <c r="B245" s="89" t="s">
        <v>172</v>
      </c>
      <c r="C245" s="43"/>
      <c r="D245" s="43"/>
      <c r="E245" s="43"/>
      <c r="F245" s="44"/>
      <c r="G245" s="67"/>
      <c r="H245" s="67"/>
      <c r="I245" s="67"/>
      <c r="J245" s="67"/>
      <c r="K245" s="67"/>
    </row>
    <row r="246" spans="2:11" x14ac:dyDescent="0.35">
      <c r="B246" s="15" t="s">
        <v>134</v>
      </c>
      <c r="F246" s="73">
        <f t="shared" ref="F246:K246" si="57">+SUM(F216:F218)</f>
        <v>120</v>
      </c>
      <c r="G246" s="73">
        <f t="shared" si="57"/>
        <v>129.36361224489798</v>
      </c>
      <c r="H246" s="73">
        <f t="shared" si="57"/>
        <v>140.10303857142856</v>
      </c>
      <c r="I246" s="73">
        <f t="shared" si="57"/>
        <v>152.43274806428573</v>
      </c>
      <c r="J246" s="73">
        <f t="shared" si="57"/>
        <v>166.60773657385718</v>
      </c>
      <c r="K246" s="73">
        <f t="shared" si="57"/>
        <v>182.93177541905362</v>
      </c>
    </row>
    <row r="247" spans="2:11" x14ac:dyDescent="0.35">
      <c r="B247" s="10" t="s">
        <v>154</v>
      </c>
      <c r="C247" s="10"/>
      <c r="D247" s="10"/>
      <c r="E247" s="10"/>
      <c r="F247" s="78">
        <f t="shared" ref="F247:K247" si="58">+SUM(F227:F229)</f>
        <v>102</v>
      </c>
      <c r="G247" s="78">
        <f t="shared" si="58"/>
        <v>109.98664897959183</v>
      </c>
      <c r="H247" s="78">
        <f t="shared" si="58"/>
        <v>119.1474282857143</v>
      </c>
      <c r="I247" s="78">
        <f t="shared" si="58"/>
        <v>129.66568324714285</v>
      </c>
      <c r="J247" s="78">
        <f t="shared" si="58"/>
        <v>141.75943328082857</v>
      </c>
      <c r="K247" s="78">
        <f t="shared" si="58"/>
        <v>155.68843774663932</v>
      </c>
    </row>
    <row r="248" spans="2:11" ht="13.15" x14ac:dyDescent="0.4">
      <c r="B248" s="42" t="s">
        <v>155</v>
      </c>
      <c r="C248" s="42"/>
      <c r="D248" s="42"/>
      <c r="E248" s="42"/>
      <c r="F248" s="74">
        <f t="shared" ref="F248:K248" si="59">+F246-F247</f>
        <v>18</v>
      </c>
      <c r="G248" s="74">
        <f t="shared" si="59"/>
        <v>19.376963265306145</v>
      </c>
      <c r="H248" s="74">
        <f t="shared" si="59"/>
        <v>20.955610285714258</v>
      </c>
      <c r="I248" s="74">
        <f t="shared" si="59"/>
        <v>22.767064817142881</v>
      </c>
      <c r="J248" s="74">
        <f t="shared" si="59"/>
        <v>24.848303293028607</v>
      </c>
      <c r="K248" s="74">
        <f t="shared" si="59"/>
        <v>27.243337672414299</v>
      </c>
    </row>
    <row r="249" spans="2:11" x14ac:dyDescent="0.35">
      <c r="B249" s="37"/>
      <c r="C249" s="37"/>
      <c r="D249" s="37"/>
      <c r="E249" s="37"/>
      <c r="F249" s="43"/>
    </row>
    <row r="250" spans="2:11" ht="13.15" x14ac:dyDescent="0.4">
      <c r="B250" s="121" t="s">
        <v>168</v>
      </c>
      <c r="C250" s="121"/>
      <c r="D250" s="121"/>
      <c r="E250" s="121"/>
      <c r="F250" s="121"/>
      <c r="G250" s="123"/>
      <c r="H250" s="123"/>
      <c r="I250" s="123"/>
      <c r="J250" s="123"/>
      <c r="K250" s="123"/>
    </row>
    <row r="251" spans="2:11" x14ac:dyDescent="0.35">
      <c r="B251" s="43" t="s">
        <v>83</v>
      </c>
      <c r="C251" s="43"/>
      <c r="D251" s="43"/>
      <c r="E251" s="43"/>
      <c r="F251" s="36">
        <f>+F216/F95*365</f>
        <v>15.314685314685315</v>
      </c>
      <c r="G251" s="55">
        <f t="shared" ref="G251:K256" si="60">+F251</f>
        <v>15.314685314685315</v>
      </c>
      <c r="H251" s="55">
        <f t="shared" si="60"/>
        <v>15.314685314685315</v>
      </c>
      <c r="I251" s="55">
        <f t="shared" si="60"/>
        <v>15.314685314685315</v>
      </c>
      <c r="J251" s="55">
        <f t="shared" si="60"/>
        <v>15.314685314685315</v>
      </c>
      <c r="K251" s="55">
        <f t="shared" si="60"/>
        <v>15.314685314685315</v>
      </c>
    </row>
    <row r="252" spans="2:11" x14ac:dyDescent="0.35">
      <c r="B252" s="43" t="s">
        <v>84</v>
      </c>
      <c r="C252" s="43"/>
      <c r="D252" s="43"/>
      <c r="E252" s="43"/>
      <c r="F252" s="36">
        <f>-F217/F96*365</f>
        <v>55.867346938775512</v>
      </c>
      <c r="G252" s="55">
        <f>+F252</f>
        <v>55.867346938775512</v>
      </c>
      <c r="H252" s="55">
        <f t="shared" si="60"/>
        <v>55.867346938775512</v>
      </c>
      <c r="I252" s="55">
        <f t="shared" si="60"/>
        <v>55.867346938775512</v>
      </c>
      <c r="J252" s="55">
        <f t="shared" si="60"/>
        <v>55.867346938775512</v>
      </c>
      <c r="K252" s="55">
        <f t="shared" si="60"/>
        <v>55.867346938775512</v>
      </c>
    </row>
    <row r="253" spans="2:11" x14ac:dyDescent="0.35">
      <c r="B253" s="43" t="s">
        <v>85</v>
      </c>
      <c r="C253" s="43"/>
      <c r="D253" s="43"/>
      <c r="E253" s="43"/>
      <c r="F253" s="44">
        <f>+F218/F$95</f>
        <v>2.097902097902098E-2</v>
      </c>
      <c r="G253" s="67">
        <f>+F253</f>
        <v>2.097902097902098E-2</v>
      </c>
      <c r="H253" s="67">
        <f>+G253</f>
        <v>2.097902097902098E-2</v>
      </c>
      <c r="I253" s="67">
        <f t="shared" si="60"/>
        <v>2.097902097902098E-2</v>
      </c>
      <c r="J253" s="67">
        <f t="shared" si="60"/>
        <v>2.097902097902098E-2</v>
      </c>
      <c r="K253" s="67">
        <f t="shared" si="60"/>
        <v>2.097902097902098E-2</v>
      </c>
    </row>
    <row r="254" spans="2:11" x14ac:dyDescent="0.35">
      <c r="B254" s="43" t="s">
        <v>86</v>
      </c>
      <c r="C254" s="43"/>
      <c r="D254" s="43"/>
      <c r="E254" s="43"/>
      <c r="F254" s="36">
        <f>-F227/F$96*365</f>
        <v>40.969387755102041</v>
      </c>
      <c r="G254" s="55">
        <f t="shared" si="60"/>
        <v>40.969387755102041</v>
      </c>
      <c r="H254" s="55">
        <f t="shared" si="60"/>
        <v>40.969387755102041</v>
      </c>
      <c r="I254" s="55">
        <f t="shared" si="60"/>
        <v>40.969387755102041</v>
      </c>
      <c r="J254" s="55">
        <f t="shared" si="60"/>
        <v>40.969387755102041</v>
      </c>
      <c r="K254" s="55">
        <f t="shared" si="60"/>
        <v>40.969387755102041</v>
      </c>
    </row>
    <row r="255" spans="2:11" x14ac:dyDescent="0.35">
      <c r="B255" s="43" t="s">
        <v>87</v>
      </c>
      <c r="C255" s="43"/>
      <c r="D255" s="43"/>
      <c r="E255" s="43"/>
      <c r="F255" s="44">
        <f>+F228/F$95</f>
        <v>5.1748251748251747E-2</v>
      </c>
      <c r="G255" s="67">
        <f>+F255</f>
        <v>5.1748251748251747E-2</v>
      </c>
      <c r="H255" s="67">
        <f>+G255</f>
        <v>5.1748251748251747E-2</v>
      </c>
      <c r="I255" s="67">
        <f t="shared" si="60"/>
        <v>5.1748251748251747E-2</v>
      </c>
      <c r="J255" s="67">
        <f t="shared" si="60"/>
        <v>5.1748251748251747E-2</v>
      </c>
      <c r="K255" s="67">
        <f t="shared" si="60"/>
        <v>5.1748251748251747E-2</v>
      </c>
    </row>
    <row r="256" spans="2:11" x14ac:dyDescent="0.35">
      <c r="B256" s="43" t="s">
        <v>135</v>
      </c>
      <c r="C256" s="43"/>
      <c r="D256" s="43"/>
      <c r="E256" s="43"/>
      <c r="F256" s="44">
        <f>+F229/F95</f>
        <v>1.3986013986013986E-2</v>
      </c>
      <c r="G256" s="67">
        <f>+F256</f>
        <v>1.3986013986013986E-2</v>
      </c>
      <c r="H256" s="67">
        <f t="shared" ref="H256" si="61">+G256</f>
        <v>1.3986013986013986E-2</v>
      </c>
      <c r="I256" s="67">
        <f t="shared" si="60"/>
        <v>1.3986013986013986E-2</v>
      </c>
      <c r="J256" s="67">
        <f t="shared" si="60"/>
        <v>1.3986013986013986E-2</v>
      </c>
      <c r="K256" s="67">
        <f t="shared" si="60"/>
        <v>1.3986013986013986E-2</v>
      </c>
    </row>
    <row r="257" spans="1:11" s="42" customFormat="1" ht="13.15" x14ac:dyDescent="0.4">
      <c r="A257" s="15"/>
      <c r="F257" s="88"/>
      <c r="G257" s="88"/>
      <c r="H257" s="88"/>
      <c r="I257" s="88"/>
      <c r="J257" s="88"/>
      <c r="K257" s="88"/>
    </row>
    <row r="258" spans="1:11" s="42" customFormat="1" ht="13.15" x14ac:dyDescent="0.4">
      <c r="A258" s="15"/>
      <c r="B258" s="121" t="s">
        <v>169</v>
      </c>
      <c r="C258" s="121"/>
      <c r="D258" s="121"/>
      <c r="E258" s="121"/>
      <c r="F258" s="121"/>
      <c r="G258" s="123"/>
      <c r="H258" s="123"/>
      <c r="I258" s="123"/>
      <c r="J258" s="123"/>
      <c r="K258" s="123"/>
    </row>
    <row r="259" spans="1:11" x14ac:dyDescent="0.35">
      <c r="B259" s="15" t="s">
        <v>18</v>
      </c>
      <c r="F259" s="45"/>
      <c r="G259" s="45">
        <f ca="1">+G226</f>
        <v>0</v>
      </c>
      <c r="H259" s="45">
        <f ca="1">+H226</f>
        <v>0</v>
      </c>
      <c r="I259" s="45">
        <f ca="1">+I226</f>
        <v>0</v>
      </c>
      <c r="J259" s="45">
        <f ca="1">+J226</f>
        <v>0</v>
      </c>
      <c r="K259" s="45">
        <f ca="1">+K226</f>
        <v>0</v>
      </c>
    </row>
    <row r="260" spans="1:11" x14ac:dyDescent="0.35">
      <c r="B260" s="15" t="s">
        <v>160</v>
      </c>
      <c r="F260" s="45"/>
      <c r="G260" s="72">
        <f t="shared" ref="G260:K262" ca="1" si="62">+G232</f>
        <v>165.15538323845601</v>
      </c>
      <c r="H260" s="72">
        <f t="shared" ca="1" si="62"/>
        <v>151.98172772260483</v>
      </c>
      <c r="I260" s="72">
        <f t="shared" ca="1" si="62"/>
        <v>134.86655161409917</v>
      </c>
      <c r="J260" s="72">
        <f t="shared" ca="1" si="62"/>
        <v>113.28845659011296</v>
      </c>
      <c r="K260" s="72">
        <f t="shared" ca="1" si="62"/>
        <v>86.310354186134319</v>
      </c>
    </row>
    <row r="261" spans="1:11" x14ac:dyDescent="0.35">
      <c r="B261" s="15" t="s">
        <v>19</v>
      </c>
      <c r="F261" s="45"/>
      <c r="G261" s="72">
        <f>+G233</f>
        <v>75</v>
      </c>
      <c r="H261" s="72">
        <f t="shared" si="62"/>
        <v>75</v>
      </c>
      <c r="I261" s="72">
        <f t="shared" si="62"/>
        <v>75</v>
      </c>
      <c r="J261" s="72">
        <f t="shared" si="62"/>
        <v>75</v>
      </c>
      <c r="K261" s="72">
        <f t="shared" si="62"/>
        <v>75</v>
      </c>
    </row>
    <row r="262" spans="1:11" x14ac:dyDescent="0.35">
      <c r="B262" s="10" t="s">
        <v>28</v>
      </c>
      <c r="C262" s="10"/>
      <c r="D262" s="10"/>
      <c r="E262" s="10"/>
      <c r="F262" s="26"/>
      <c r="G262" s="78">
        <f>+G234</f>
        <v>52</v>
      </c>
      <c r="H262" s="78">
        <f t="shared" si="62"/>
        <v>54.08</v>
      </c>
      <c r="I262" s="78">
        <f t="shared" si="62"/>
        <v>56.243200000000002</v>
      </c>
      <c r="J262" s="78">
        <f t="shared" si="62"/>
        <v>58.492927999999999</v>
      </c>
      <c r="K262" s="78">
        <f t="shared" si="62"/>
        <v>60.832645120000002</v>
      </c>
    </row>
    <row r="263" spans="1:11" s="42" customFormat="1" ht="13.15" x14ac:dyDescent="0.4">
      <c r="A263" s="15"/>
      <c r="B263" s="42" t="s">
        <v>20</v>
      </c>
      <c r="F263" s="70"/>
      <c r="G263" s="70">
        <f ca="1">SUM(G259:G262)</f>
        <v>292.15538323845601</v>
      </c>
      <c r="H263" s="70">
        <f t="shared" ref="H263:K263" ca="1" si="63">SUM(H259:H262)</f>
        <v>281.06172772260481</v>
      </c>
      <c r="I263" s="70">
        <f t="shared" ca="1" si="63"/>
        <v>266.1097516140992</v>
      </c>
      <c r="J263" s="70">
        <f t="shared" ca="1" si="63"/>
        <v>246.78138459011296</v>
      </c>
      <c r="K263" s="70">
        <f t="shared" ca="1" si="63"/>
        <v>222.1429993061343</v>
      </c>
    </row>
    <row r="264" spans="1:11" x14ac:dyDescent="0.35">
      <c r="B264" s="10" t="s">
        <v>144</v>
      </c>
      <c r="C264" s="10"/>
      <c r="D264" s="10"/>
      <c r="E264" s="10"/>
      <c r="F264" s="26"/>
      <c r="G264" s="78">
        <f ca="1">-G147</f>
        <v>-5</v>
      </c>
      <c r="H264" s="78">
        <f ca="1">-H147</f>
        <v>-5</v>
      </c>
      <c r="I264" s="78">
        <f ca="1">-I147</f>
        <v>-5.0000000000000036</v>
      </c>
      <c r="J264" s="78">
        <f ca="1">-J147</f>
        <v>-5</v>
      </c>
      <c r="K264" s="78">
        <f ca="1">-K147</f>
        <v>-5</v>
      </c>
    </row>
    <row r="265" spans="1:11" s="42" customFormat="1" ht="13.15" x14ac:dyDescent="0.4">
      <c r="A265" s="15"/>
      <c r="B265" s="42" t="s">
        <v>143</v>
      </c>
      <c r="F265" s="70"/>
      <c r="G265" s="74">
        <f ca="1">SUM(G263:G264)</f>
        <v>287.15538323845601</v>
      </c>
      <c r="H265" s="74">
        <f t="shared" ref="H265:K265" ca="1" si="64">SUM(H263:H264)</f>
        <v>276.06172772260481</v>
      </c>
      <c r="I265" s="74">
        <f t="shared" ca="1" si="64"/>
        <v>261.1097516140992</v>
      </c>
      <c r="J265" s="74">
        <f t="shared" ca="1" si="64"/>
        <v>241.78138459011296</v>
      </c>
      <c r="K265" s="74">
        <f t="shared" ca="1" si="64"/>
        <v>217.1429993061343</v>
      </c>
    </row>
    <row r="266" spans="1:11" x14ac:dyDescent="0.35">
      <c r="F266" s="45"/>
      <c r="G266" s="45"/>
      <c r="H266" s="45"/>
      <c r="I266" s="45"/>
      <c r="J266" s="45"/>
      <c r="K266" s="45"/>
    </row>
    <row r="267" spans="1:11" ht="13.15" x14ac:dyDescent="0.4">
      <c r="B267" s="34" t="s">
        <v>152</v>
      </c>
      <c r="C267" s="34"/>
      <c r="D267" s="34"/>
      <c r="E267" s="34"/>
      <c r="F267" s="34"/>
      <c r="G267" s="34"/>
      <c r="H267" s="34"/>
      <c r="I267" s="34"/>
      <c r="J267" s="34"/>
      <c r="K267" s="34"/>
    </row>
    <row r="269" spans="1:11" ht="13.15" x14ac:dyDescent="0.4">
      <c r="B269" s="19" t="s">
        <v>123</v>
      </c>
      <c r="C269" s="19"/>
      <c r="D269" s="19"/>
      <c r="E269" s="19"/>
      <c r="F269" s="20">
        <v>2020</v>
      </c>
      <c r="G269" s="24">
        <f>+F269+1</f>
        <v>2021</v>
      </c>
      <c r="H269" s="24">
        <f>+G269+1</f>
        <v>2022</v>
      </c>
      <c r="I269" s="24">
        <f>+H269+1</f>
        <v>2023</v>
      </c>
      <c r="J269" s="24">
        <f>+I269+1</f>
        <v>2024</v>
      </c>
      <c r="K269" s="24">
        <f>+J269+1</f>
        <v>2025</v>
      </c>
    </row>
    <row r="271" spans="1:11" ht="13.15" x14ac:dyDescent="0.4">
      <c r="B271" s="42" t="s">
        <v>124</v>
      </c>
      <c r="C271" s="42"/>
      <c r="D271" s="42"/>
      <c r="E271" s="42"/>
      <c r="F271" s="42"/>
      <c r="G271" s="74">
        <f>+G100</f>
        <v>55.544400000000024</v>
      </c>
      <c r="H271" s="74">
        <f>+H100</f>
        <v>61.941347999999991</v>
      </c>
      <c r="I271" s="74">
        <f>+I100</f>
        <v>69.342553980000034</v>
      </c>
      <c r="J271" s="74">
        <f>+J100</f>
        <v>77.930097310799994</v>
      </c>
      <c r="K271" s="74">
        <f>+K100</f>
        <v>87.923107814850027</v>
      </c>
    </row>
    <row r="272" spans="1:11" x14ac:dyDescent="0.35">
      <c r="B272" s="10" t="s">
        <v>125</v>
      </c>
      <c r="C272" s="10"/>
      <c r="D272" s="10"/>
      <c r="E272" s="10"/>
      <c r="F272" s="10"/>
      <c r="G272" s="1">
        <v>12.5</v>
      </c>
      <c r="H272" s="14">
        <f>+G272</f>
        <v>12.5</v>
      </c>
      <c r="I272" s="14">
        <f>+H272</f>
        <v>12.5</v>
      </c>
      <c r="J272" s="14">
        <f>+I272</f>
        <v>12.5</v>
      </c>
      <c r="K272" s="14">
        <f>+J272</f>
        <v>12.5</v>
      </c>
    </row>
    <row r="273" spans="2:12" ht="13.15" x14ac:dyDescent="0.4">
      <c r="B273" s="42" t="s">
        <v>126</v>
      </c>
      <c r="C273" s="42"/>
      <c r="D273" s="42"/>
      <c r="E273" s="42"/>
      <c r="F273" s="42"/>
      <c r="G273" s="74">
        <f>+G271*G272</f>
        <v>694.30500000000029</v>
      </c>
      <c r="H273" s="74">
        <f>+H271*H272</f>
        <v>774.26684999999986</v>
      </c>
      <c r="I273" s="74">
        <f>+I271*I272</f>
        <v>866.78192475000037</v>
      </c>
      <c r="J273" s="74">
        <f>+J271*J272</f>
        <v>974.12621638499991</v>
      </c>
      <c r="K273" s="74">
        <f>+K271*K272</f>
        <v>1099.0388476856253</v>
      </c>
    </row>
    <row r="274" spans="2:12" x14ac:dyDescent="0.35">
      <c r="B274" s="10" t="s">
        <v>145</v>
      </c>
      <c r="C274" s="10"/>
      <c r="D274" s="10"/>
      <c r="E274" s="10"/>
      <c r="F274" s="10"/>
      <c r="G274" s="78">
        <f ca="1">-G265</f>
        <v>-287.15538323845601</v>
      </c>
      <c r="H274" s="78">
        <f t="shared" ref="H274:K274" ca="1" si="65">-H265</f>
        <v>-276.06172772260481</v>
      </c>
      <c r="I274" s="78">
        <f t="shared" ca="1" si="65"/>
        <v>-261.1097516140992</v>
      </c>
      <c r="J274" s="78">
        <f t="shared" ca="1" si="65"/>
        <v>-241.78138459011296</v>
      </c>
      <c r="K274" s="78">
        <f t="shared" ca="1" si="65"/>
        <v>-217.1429993061343</v>
      </c>
    </row>
    <row r="275" spans="2:12" ht="13.15" x14ac:dyDescent="0.4">
      <c r="B275" s="42" t="s">
        <v>127</v>
      </c>
      <c r="C275" s="42"/>
      <c r="D275" s="42"/>
      <c r="E275" s="42"/>
      <c r="F275" s="42"/>
      <c r="G275" s="74">
        <f ca="1">SUM(G273:G274)</f>
        <v>407.14961676154428</v>
      </c>
      <c r="H275" s="74">
        <f ca="1">SUM(H273:H274)</f>
        <v>498.20512227739505</v>
      </c>
      <c r="I275" s="74">
        <f ca="1">SUM(I273:I274)</f>
        <v>605.67217313590118</v>
      </c>
      <c r="J275" s="74">
        <f ca="1">SUM(J273:J274)</f>
        <v>732.34483179488689</v>
      </c>
      <c r="K275" s="74">
        <f ca="1">SUM(K273:K274)</f>
        <v>881.8958483794911</v>
      </c>
    </row>
    <row r="276" spans="2:12" x14ac:dyDescent="0.35">
      <c r="B276" s="4" t="s">
        <v>156</v>
      </c>
      <c r="C276" s="4"/>
      <c r="D276" s="4"/>
      <c r="E276" s="4"/>
      <c r="F276" s="4"/>
      <c r="G276" s="132">
        <f>1-$K$10</f>
        <v>0.8</v>
      </c>
      <c r="H276" s="132">
        <f t="shared" ref="H276:K276" si="66">1-$K$10</f>
        <v>0.8</v>
      </c>
      <c r="I276" s="132">
        <f t="shared" si="66"/>
        <v>0.8</v>
      </c>
      <c r="J276" s="132">
        <f t="shared" si="66"/>
        <v>0.8</v>
      </c>
      <c r="K276" s="132">
        <f t="shared" si="66"/>
        <v>0.8</v>
      </c>
    </row>
    <row r="277" spans="2:12" ht="13.15" x14ac:dyDescent="0.4">
      <c r="B277" s="42" t="s">
        <v>163</v>
      </c>
      <c r="C277" s="42"/>
      <c r="D277" s="42"/>
      <c r="E277" s="42"/>
      <c r="F277" s="42"/>
      <c r="G277" s="74">
        <f ca="1">+G276*G275</f>
        <v>325.71969340923545</v>
      </c>
      <c r="H277" s="74">
        <f t="shared" ref="H277" ca="1" si="67">+H276*H275</f>
        <v>398.56409782191605</v>
      </c>
      <c r="I277" s="74">
        <f ca="1">+I276*I275</f>
        <v>484.53773850872096</v>
      </c>
      <c r="J277" s="74">
        <f ca="1">+J276*J275</f>
        <v>585.87586543590953</v>
      </c>
      <c r="K277" s="74">
        <f ca="1">+K276*K275</f>
        <v>705.5166787035929</v>
      </c>
    </row>
    <row r="278" spans="2:12" x14ac:dyDescent="0.35">
      <c r="B278" s="10" t="s">
        <v>164</v>
      </c>
      <c r="C278" s="10"/>
      <c r="D278" s="10"/>
      <c r="E278" s="10"/>
      <c r="F278" s="10"/>
      <c r="G278" s="78">
        <f>-G104</f>
        <v>2</v>
      </c>
      <c r="H278" s="78">
        <f>-H104</f>
        <v>2</v>
      </c>
      <c r="I278" s="78">
        <f>-I104</f>
        <v>2</v>
      </c>
      <c r="J278" s="78">
        <f>-J104</f>
        <v>2</v>
      </c>
      <c r="K278" s="78">
        <f>-K104</f>
        <v>2</v>
      </c>
    </row>
    <row r="279" spans="2:12" ht="13.15" x14ac:dyDescent="0.4">
      <c r="B279" s="42" t="s">
        <v>165</v>
      </c>
      <c r="C279" s="42"/>
      <c r="D279" s="42"/>
      <c r="E279" s="42"/>
      <c r="F279" s="42"/>
      <c r="G279" s="74">
        <f ca="1">SUM(G277:G278)</f>
        <v>327.71969340923545</v>
      </c>
      <c r="H279" s="74">
        <f t="shared" ref="H279:K279" ca="1" si="68">SUM(H277:H278)</f>
        <v>400.56409782191605</v>
      </c>
      <c r="I279" s="74">
        <f t="shared" ca="1" si="68"/>
        <v>486.53773850872096</v>
      </c>
      <c r="J279" s="74">
        <f t="shared" ca="1" si="68"/>
        <v>587.87586543590953</v>
      </c>
      <c r="K279" s="74">
        <f t="shared" ca="1" si="68"/>
        <v>707.5166787035929</v>
      </c>
    </row>
    <row r="281" spans="2:12" ht="13.15" x14ac:dyDescent="0.4">
      <c r="B281" s="121" t="s">
        <v>128</v>
      </c>
      <c r="C281" s="121"/>
      <c r="D281" s="121"/>
      <c r="E281" s="121"/>
      <c r="F281" s="122">
        <v>0</v>
      </c>
      <c r="G281" s="122">
        <f>+F281+1</f>
        <v>1</v>
      </c>
      <c r="H281" s="122">
        <f>+G281+1</f>
        <v>2</v>
      </c>
      <c r="I281" s="122">
        <f>+H281+1</f>
        <v>3</v>
      </c>
      <c r="J281" s="122">
        <f>+I281+1</f>
        <v>4</v>
      </c>
      <c r="K281" s="122">
        <f>+J281+1</f>
        <v>5</v>
      </c>
    </row>
    <row r="282" spans="2:12" x14ac:dyDescent="0.35">
      <c r="B282" s="51"/>
      <c r="C282" s="51"/>
      <c r="D282" s="51"/>
      <c r="E282" s="51"/>
      <c r="F282" s="46">
        <v>44196</v>
      </c>
      <c r="G282" s="46">
        <f>+EOMONTH(F282,12)</f>
        <v>44561</v>
      </c>
      <c r="H282" s="46">
        <f>+EOMONTH(G282,12)</f>
        <v>44926</v>
      </c>
      <c r="I282" s="46">
        <f>+EOMONTH(H282,12)</f>
        <v>45291</v>
      </c>
      <c r="J282" s="46">
        <f>+EOMONTH(I282,12)</f>
        <v>45657</v>
      </c>
      <c r="K282" s="46">
        <f>+EOMONTH(J282,12)</f>
        <v>46022</v>
      </c>
    </row>
    <row r="283" spans="2:12" x14ac:dyDescent="0.35">
      <c r="B283" s="209">
        <v>2021</v>
      </c>
      <c r="C283" s="209"/>
      <c r="D283" s="68"/>
      <c r="E283" s="68"/>
      <c r="F283" s="133">
        <f>-$F$34</f>
        <v>-278</v>
      </c>
      <c r="G283" s="133">
        <f ca="1">+G279</f>
        <v>327.71969340923545</v>
      </c>
      <c r="H283" s="133"/>
      <c r="I283" s="133"/>
      <c r="J283" s="133"/>
      <c r="K283" s="133"/>
      <c r="L283" s="69"/>
    </row>
    <row r="284" spans="2:12" x14ac:dyDescent="0.35">
      <c r="B284" s="209">
        <f>+B283+1</f>
        <v>2022</v>
      </c>
      <c r="C284" s="209"/>
      <c r="D284" s="68"/>
      <c r="E284" s="68"/>
      <c r="F284" s="133">
        <f>-$F$34</f>
        <v>-278</v>
      </c>
      <c r="G284" s="133">
        <f>+G278</f>
        <v>2</v>
      </c>
      <c r="H284" s="133">
        <f ca="1">+H279</f>
        <v>400.56409782191605</v>
      </c>
      <c r="I284" s="133"/>
      <c r="J284" s="133"/>
      <c r="K284" s="133"/>
      <c r="L284" s="69"/>
    </row>
    <row r="285" spans="2:12" x14ac:dyDescent="0.35">
      <c r="B285" s="209">
        <f>+B284+1</f>
        <v>2023</v>
      </c>
      <c r="C285" s="209"/>
      <c r="D285" s="68"/>
      <c r="E285" s="68"/>
      <c r="F285" s="133">
        <f>-$F$34</f>
        <v>-278</v>
      </c>
      <c r="G285" s="133">
        <f>+G278</f>
        <v>2</v>
      </c>
      <c r="H285" s="133">
        <f>+H278</f>
        <v>2</v>
      </c>
      <c r="I285" s="133">
        <f ca="1">+I279</f>
        <v>486.53773850872096</v>
      </c>
      <c r="J285" s="133"/>
      <c r="K285" s="133"/>
      <c r="L285" s="69"/>
    </row>
    <row r="286" spans="2:12" x14ac:dyDescent="0.35">
      <c r="B286" s="209">
        <f>+B285+1</f>
        <v>2024</v>
      </c>
      <c r="C286" s="209"/>
      <c r="D286" s="68"/>
      <c r="E286" s="68"/>
      <c r="F286" s="133">
        <f>-$F$34</f>
        <v>-278</v>
      </c>
      <c r="G286" s="133">
        <f>+G278</f>
        <v>2</v>
      </c>
      <c r="H286" s="133">
        <f>+H278</f>
        <v>2</v>
      </c>
      <c r="I286" s="133">
        <f>+I278</f>
        <v>2</v>
      </c>
      <c r="J286" s="133">
        <f ca="1">+J279</f>
        <v>587.87586543590953</v>
      </c>
      <c r="K286" s="133"/>
      <c r="L286" s="69"/>
    </row>
    <row r="287" spans="2:12" x14ac:dyDescent="0.35">
      <c r="B287" s="209">
        <f>+B286+1</f>
        <v>2025</v>
      </c>
      <c r="C287" s="209"/>
      <c r="D287" s="68"/>
      <c r="E287" s="68"/>
      <c r="F287" s="133">
        <f>-$F$34</f>
        <v>-278</v>
      </c>
      <c r="G287" s="133">
        <f>+G278</f>
        <v>2</v>
      </c>
      <c r="H287" s="133">
        <f>+H278</f>
        <v>2</v>
      </c>
      <c r="I287" s="133">
        <f>+I278</f>
        <v>2</v>
      </c>
      <c r="J287" s="133">
        <f>+J278</f>
        <v>2</v>
      </c>
      <c r="K287" s="133">
        <f ca="1">+K279</f>
        <v>707.5166787035929</v>
      </c>
      <c r="L287" s="69"/>
    </row>
    <row r="289" spans="2:11" ht="13.15" x14ac:dyDescent="0.4">
      <c r="B289" s="5" t="s">
        <v>129</v>
      </c>
      <c r="C289" s="6"/>
      <c r="D289" s="6"/>
      <c r="E289" s="6"/>
      <c r="F289" s="6"/>
      <c r="G289" s="134">
        <f ca="1">+XIRR($F283:$K283,$F$282:$K$282)</f>
        <v>0.17884781956672674</v>
      </c>
      <c r="H289" s="134">
        <f ca="1">+XIRR(F284:K284,$F$282:$K$282)</f>
        <v>0.20396830439567568</v>
      </c>
      <c r="I289" s="134">
        <f ca="1">+XIRR(F285:K285,$F$282:$K$282)</f>
        <v>0.2094990432262421</v>
      </c>
      <c r="J289" s="134">
        <f ca="1">+XIRR(F286:K286,$F$282:$K$282)</f>
        <v>0.21027733683586125</v>
      </c>
      <c r="K289" s="135">
        <f ca="1">+XIRR(F287:K287,$F$282:$K$282)</f>
        <v>0.20975056290626529</v>
      </c>
    </row>
    <row r="290" spans="2:11" ht="13.15" x14ac:dyDescent="0.4">
      <c r="B290" s="7" t="s">
        <v>130</v>
      </c>
      <c r="C290" s="8"/>
      <c r="D290" s="8"/>
      <c r="E290" s="8"/>
      <c r="F290" s="8"/>
      <c r="G290" s="124">
        <f ca="1">+SUM(G283:K283)/-F283</f>
        <v>1.1788478180188326</v>
      </c>
      <c r="H290" s="124">
        <f ca="1">+SUM(G284:K284)/-F284</f>
        <v>1.448072294323439</v>
      </c>
      <c r="I290" s="124">
        <f ca="1">+SUM(G285:K285)/-F285</f>
        <v>1.7645242392400036</v>
      </c>
      <c r="J290" s="124">
        <f ca="1">+SUM(G286:K286)/-F286</f>
        <v>2.136244120273056</v>
      </c>
      <c r="K290" s="125">
        <f ca="1">+SUM(G287:K287)/-F287</f>
        <v>2.5738010025309097</v>
      </c>
    </row>
    <row r="292" spans="2:11" ht="13.15" x14ac:dyDescent="0.4">
      <c r="B292" s="34" t="s">
        <v>157</v>
      </c>
      <c r="C292" s="34"/>
      <c r="D292" s="34"/>
      <c r="E292" s="34"/>
      <c r="F292" s="34"/>
      <c r="G292" s="34"/>
      <c r="H292" s="34"/>
      <c r="I292" s="34"/>
      <c r="J292" s="34"/>
      <c r="K292" s="34"/>
    </row>
    <row r="294" spans="2:11" ht="13.15" x14ac:dyDescent="0.4">
      <c r="D294" s="118" t="s">
        <v>182</v>
      </c>
      <c r="E294" s="119"/>
      <c r="F294" s="119"/>
      <c r="G294" s="119"/>
      <c r="H294" s="119"/>
      <c r="I294" s="119"/>
      <c r="J294" s="120"/>
    </row>
    <row r="296" spans="2:11" ht="13.15" x14ac:dyDescent="0.4">
      <c r="D296" s="34" t="s">
        <v>181</v>
      </c>
      <c r="E296" s="27"/>
      <c r="F296" s="27"/>
      <c r="G296" s="27"/>
      <c r="H296" s="27"/>
      <c r="I296" s="27"/>
      <c r="J296" s="27"/>
    </row>
    <row r="297" spans="2:11" x14ac:dyDescent="0.35">
      <c r="C297" s="100">
        <f ca="1">+K289</f>
        <v>0.20975056290626529</v>
      </c>
      <c r="D297" s="97">
        <f t="shared" ref="D297:E297" si="69">+E297-1</f>
        <v>9.5</v>
      </c>
      <c r="E297" s="97">
        <f t="shared" si="69"/>
        <v>10.5</v>
      </c>
      <c r="F297" s="97">
        <f>+G297-1</f>
        <v>11.5</v>
      </c>
      <c r="G297" s="98">
        <v>12.5</v>
      </c>
      <c r="H297" s="97">
        <f>+G297+1</f>
        <v>13.5</v>
      </c>
      <c r="I297" s="97">
        <f t="shared" ref="I297:J297" si="70">+H297+1</f>
        <v>14.5</v>
      </c>
      <c r="J297" s="97">
        <f t="shared" si="70"/>
        <v>15.5</v>
      </c>
    </row>
    <row r="298" spans="2:11" x14ac:dyDescent="0.35">
      <c r="C298" s="97">
        <f t="shared" ref="C298:C299" si="71">+C299-1</f>
        <v>9.5</v>
      </c>
      <c r="D298" s="102">
        <f t="dataTable" ref="D298:J304" dt2D="1" dtr="1" r1="K272" r2="E9" ca="1"/>
        <v>0.26463280320167537</v>
      </c>
      <c r="E298" s="103">
        <v>0.29813817143440247</v>
      </c>
      <c r="F298" s="103">
        <v>0.32848203778266916</v>
      </c>
      <c r="G298" s="103">
        <v>0.35626587271690369</v>
      </c>
      <c r="H298" s="103">
        <v>0.38192996382713318</v>
      </c>
      <c r="I298" s="103">
        <v>0.405806976556778</v>
      </c>
      <c r="J298" s="104">
        <v>0.42815479636192333</v>
      </c>
    </row>
    <row r="299" spans="2:11" x14ac:dyDescent="0.35">
      <c r="C299" s="97">
        <f t="shared" si="71"/>
        <v>10.5</v>
      </c>
      <c r="D299" s="105">
        <v>0.20801504254341127</v>
      </c>
      <c r="E299" s="101">
        <v>0.24006032347679135</v>
      </c>
      <c r="F299" s="101">
        <v>0.26908076405525205</v>
      </c>
      <c r="G299" s="101">
        <v>0.29565197825431833</v>
      </c>
      <c r="H299" s="101">
        <v>0.32019531130790735</v>
      </c>
      <c r="I299" s="101">
        <v>0.3430290758609772</v>
      </c>
      <c r="J299" s="106">
        <v>0.36440003514289865</v>
      </c>
    </row>
    <row r="300" spans="2:11" ht="13.15" x14ac:dyDescent="0.4">
      <c r="B300" s="50" t="s">
        <v>179</v>
      </c>
      <c r="C300" s="97">
        <f>+C301-1</f>
        <v>11.5</v>
      </c>
      <c r="D300" s="105">
        <v>0.16381348967552187</v>
      </c>
      <c r="E300" s="101">
        <v>0.19471426606178283</v>
      </c>
      <c r="F300" s="101">
        <v>0.22269743084907534</v>
      </c>
      <c r="G300" s="101">
        <v>0.24831829667091368</v>
      </c>
      <c r="H300" s="101">
        <v>0.27198334336280816</v>
      </c>
      <c r="I300" s="101">
        <v>0.29399961829185495</v>
      </c>
      <c r="J300" s="106">
        <v>0.31460514664649963</v>
      </c>
    </row>
    <row r="301" spans="2:11" ht="13.15" x14ac:dyDescent="0.4">
      <c r="B301" s="50" t="s">
        <v>180</v>
      </c>
      <c r="C301" s="98">
        <v>12.5</v>
      </c>
      <c r="D301" s="105">
        <v>0.12780476212501526</v>
      </c>
      <c r="E301" s="101">
        <v>0.15777038931846618</v>
      </c>
      <c r="F301" s="101">
        <v>0.18490608334541325</v>
      </c>
      <c r="G301" s="101">
        <v>0.20975056290626529</v>
      </c>
      <c r="H301" s="101">
        <v>0.23269811272621158</v>
      </c>
      <c r="I301" s="101">
        <v>0.25404660105705257</v>
      </c>
      <c r="J301" s="106">
        <v>0.27402688860893254</v>
      </c>
    </row>
    <row r="302" spans="2:11" x14ac:dyDescent="0.35">
      <c r="C302" s="97">
        <f>+C301+1</f>
        <v>13.5</v>
      </c>
      <c r="D302" s="105">
        <v>9.7576576471328752E-2</v>
      </c>
      <c r="E302" s="101">
        <v>0.12675536274909971</v>
      </c>
      <c r="F302" s="101">
        <v>0.15317803025245669</v>
      </c>
      <c r="G302" s="101">
        <v>0.17736931443214421</v>
      </c>
      <c r="H302" s="101">
        <v>0.19971325993537903</v>
      </c>
      <c r="I302" s="101">
        <v>0.22049997448921205</v>
      </c>
      <c r="J302" s="106">
        <v>0.23995431065559383</v>
      </c>
    </row>
    <row r="303" spans="2:11" x14ac:dyDescent="0.35">
      <c r="C303" s="97">
        <f t="shared" ref="C303:C304" si="72">+C302+1</f>
        <v>14.5</v>
      </c>
      <c r="D303" s="105">
        <v>7.1628275513649003E-2</v>
      </c>
      <c r="E303" s="101">
        <v>0.10013037323951723</v>
      </c>
      <c r="F303" s="101">
        <v>0.12593985199928281</v>
      </c>
      <c r="G303" s="101">
        <v>0.14956944584846499</v>
      </c>
      <c r="H303" s="101">
        <v>0.17139435410499573</v>
      </c>
      <c r="I303" s="101">
        <v>0.19169800877571105</v>
      </c>
      <c r="J303" s="106">
        <v>0.2107001006603241</v>
      </c>
    </row>
    <row r="304" spans="2:11" x14ac:dyDescent="0.35">
      <c r="C304" s="97">
        <f t="shared" si="72"/>
        <v>15.5</v>
      </c>
      <c r="D304" s="107">
        <v>4.8966208100318917E-2</v>
      </c>
      <c r="E304" s="108">
        <v>7.687639892101289E-2</v>
      </c>
      <c r="F304" s="108">
        <v>0.10214956402778627</v>
      </c>
      <c r="G304" s="108">
        <v>0.12528788447380068</v>
      </c>
      <c r="H304" s="108">
        <v>0.14665883183479311</v>
      </c>
      <c r="I304" s="108">
        <v>0.16654002070426943</v>
      </c>
      <c r="J304" s="109">
        <v>0.18514660000801092</v>
      </c>
    </row>
    <row r="306" spans="2:10" ht="13.15" x14ac:dyDescent="0.4">
      <c r="D306" s="118" t="s">
        <v>183</v>
      </c>
      <c r="E306" s="119"/>
      <c r="F306" s="119"/>
      <c r="G306" s="119"/>
      <c r="H306" s="119"/>
      <c r="I306" s="119"/>
      <c r="J306" s="120"/>
    </row>
    <row r="308" spans="2:10" ht="13.15" x14ac:dyDescent="0.4">
      <c r="D308" s="34" t="s">
        <v>181</v>
      </c>
      <c r="E308" s="27"/>
      <c r="F308" s="27"/>
      <c r="G308" s="27"/>
      <c r="H308" s="27"/>
      <c r="I308" s="27"/>
      <c r="J308" s="27"/>
    </row>
    <row r="309" spans="2:10" x14ac:dyDescent="0.35">
      <c r="C309" s="99">
        <f ca="1">+K290</f>
        <v>2.5738010025309097</v>
      </c>
      <c r="D309" s="97">
        <f t="shared" ref="D309:E309" si="73">+E309-1</f>
        <v>9.5</v>
      </c>
      <c r="E309" s="97">
        <f t="shared" si="73"/>
        <v>10.5</v>
      </c>
      <c r="F309" s="97">
        <f>+G309-1</f>
        <v>11.5</v>
      </c>
      <c r="G309" s="98">
        <v>12.5</v>
      </c>
      <c r="H309" s="97">
        <f>+G309+1</f>
        <v>13.5</v>
      </c>
      <c r="I309" s="97">
        <f t="shared" ref="I309:J309" si="74">+H309+1</f>
        <v>14.5</v>
      </c>
      <c r="J309" s="97">
        <f t="shared" si="74"/>
        <v>15.5</v>
      </c>
    </row>
    <row r="310" spans="2:10" x14ac:dyDescent="0.35">
      <c r="C310" s="97">
        <f t="shared" ref="C310:C311" si="75">+C311-1</f>
        <v>9.5</v>
      </c>
      <c r="D310" s="110">
        <f t="dataTable" ref="D310:J316" dt2D="1" dtr="1" r1="K272" r2="E9" ca="1"/>
        <v>3.1930456958731184</v>
      </c>
      <c r="E310" s="111">
        <v>3.6382259886065365</v>
      </c>
      <c r="F310" s="111">
        <v>4.0834062813399541</v>
      </c>
      <c r="G310" s="111">
        <v>4.5285865740733717</v>
      </c>
      <c r="H310" s="111">
        <v>4.9737668668067903</v>
      </c>
      <c r="I310" s="111">
        <v>5.4189471595402079</v>
      </c>
      <c r="J310" s="112">
        <v>5.8641274522736255</v>
      </c>
    </row>
    <row r="311" spans="2:10" x14ac:dyDescent="0.35">
      <c r="C311" s="97">
        <f t="shared" si="75"/>
        <v>10.5</v>
      </c>
      <c r="D311" s="113">
        <v>2.5479859593330945</v>
      </c>
      <c r="E311" s="97">
        <v>2.9032308393930948</v>
      </c>
      <c r="F311" s="97">
        <v>3.2584757194530951</v>
      </c>
      <c r="G311" s="97">
        <v>3.613720599513095</v>
      </c>
      <c r="H311" s="97">
        <v>3.9689654795730953</v>
      </c>
      <c r="I311" s="97">
        <v>4.3242103596330947</v>
      </c>
      <c r="J311" s="114">
        <v>4.6794552396930946</v>
      </c>
    </row>
    <row r="312" spans="2:10" ht="13.15" x14ac:dyDescent="0.4">
      <c r="B312" s="50" t="s">
        <v>179</v>
      </c>
      <c r="C312" s="97">
        <f>+C313-1</f>
        <v>11.5</v>
      </c>
      <c r="D312" s="113">
        <v>2.1197530249913981</v>
      </c>
      <c r="E312" s="97">
        <v>2.4152928831925746</v>
      </c>
      <c r="F312" s="97">
        <v>2.7108327413937512</v>
      </c>
      <c r="G312" s="97">
        <v>3.0063725995949278</v>
      </c>
      <c r="H312" s="97">
        <v>3.3019124577961048</v>
      </c>
      <c r="I312" s="97">
        <v>3.5974523159972804</v>
      </c>
      <c r="J312" s="114">
        <v>3.892992174198457</v>
      </c>
    </row>
    <row r="313" spans="2:10" ht="13.15" x14ac:dyDescent="0.4">
      <c r="B313" s="50" t="s">
        <v>180</v>
      </c>
      <c r="C313" s="98">
        <v>12.5</v>
      </c>
      <c r="D313" s="113">
        <v>1.8147525897408372</v>
      </c>
      <c r="E313" s="97">
        <v>2.067768727337528</v>
      </c>
      <c r="F313" s="97">
        <v>2.3207848649342186</v>
      </c>
      <c r="G313" s="97">
        <v>2.5738010025309093</v>
      </c>
      <c r="H313" s="97">
        <v>2.8268171401276003</v>
      </c>
      <c r="I313" s="97">
        <v>3.0798332777242905</v>
      </c>
      <c r="J313" s="114">
        <v>3.3328494153209811</v>
      </c>
    </row>
    <row r="314" spans="2:10" x14ac:dyDescent="0.35">
      <c r="C314" s="97">
        <f>+C313+1</f>
        <v>13.5</v>
      </c>
      <c r="D314" s="113">
        <v>1.5864818237357003</v>
      </c>
      <c r="E314" s="97">
        <v>1.807672032074946</v>
      </c>
      <c r="F314" s="97">
        <v>2.0288622404141909</v>
      </c>
      <c r="G314" s="97">
        <v>2.2500524487534364</v>
      </c>
      <c r="H314" s="97">
        <v>2.4712426570926822</v>
      </c>
      <c r="I314" s="97">
        <v>2.6924328654319272</v>
      </c>
      <c r="J314" s="114">
        <v>2.9136230737711721</v>
      </c>
    </row>
    <row r="315" spans="2:10" x14ac:dyDescent="0.35">
      <c r="C315" s="97">
        <f t="shared" ref="C315:C316" si="76">+C314+1</f>
        <v>14.5</v>
      </c>
      <c r="D315" s="113">
        <v>1.4092212847708181</v>
      </c>
      <c r="E315" s="97">
        <v>1.6056975033514882</v>
      </c>
      <c r="F315" s="97">
        <v>1.8021737219321585</v>
      </c>
      <c r="G315" s="97">
        <v>1.9986499405128291</v>
      </c>
      <c r="H315" s="97">
        <v>2.1951261590934998</v>
      </c>
      <c r="I315" s="97">
        <v>2.3916023776741699</v>
      </c>
      <c r="J315" s="114">
        <v>2.58807859625484</v>
      </c>
    </row>
    <row r="316" spans="2:10" x14ac:dyDescent="0.35">
      <c r="C316" s="97">
        <f t="shared" si="76"/>
        <v>15.5</v>
      </c>
      <c r="D316" s="115">
        <v>1.2675910048943535</v>
      </c>
      <c r="E316" s="116">
        <v>1.4443208698488261</v>
      </c>
      <c r="F316" s="116">
        <v>1.6210507348032985</v>
      </c>
      <c r="G316" s="116">
        <v>1.7977805997577707</v>
      </c>
      <c r="H316" s="116">
        <v>1.9745104647122436</v>
      </c>
      <c r="I316" s="116">
        <v>2.1512403296667162</v>
      </c>
      <c r="J316" s="117">
        <v>2.3279701946211886</v>
      </c>
    </row>
  </sheetData>
  <mergeCells count="5">
    <mergeCell ref="B283:C283"/>
    <mergeCell ref="B284:C284"/>
    <mergeCell ref="B285:C285"/>
    <mergeCell ref="B286:C286"/>
    <mergeCell ref="B287:C287"/>
  </mergeCells>
  <conditionalFormatting sqref="F283:K287">
    <cfRule type="cellIs" dxfId="5" priority="8" operator="lessThan">
      <formula>0</formula>
    </cfRule>
    <cfRule type="cellIs" dxfId="4" priority="9" operator="greaterThan">
      <formula>0</formula>
    </cfRule>
  </conditionalFormatting>
  <conditionalFormatting sqref="D298:J304">
    <cfRule type="cellIs" dxfId="3" priority="3" operator="lessThan">
      <formula>0.15</formula>
    </cfRule>
    <cfRule type="cellIs" dxfId="2" priority="4" operator="greaterThan">
      <formula>0.15</formula>
    </cfRule>
  </conditionalFormatting>
  <conditionalFormatting sqref="D310:J316">
    <cfRule type="cellIs" dxfId="1" priority="1" operator="lessThan">
      <formula>3</formula>
    </cfRule>
    <cfRule type="cellIs" dxfId="0" priority="2" operator="greaterThan">
      <formula>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Financials</vt:lpstr>
      <vt:lpstr>Empty</vt:lpstr>
      <vt:lpstr>Completed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2020-10-16T01:48:52Z</dcterms:created>
  <dcterms:modified xsi:type="dcterms:W3CDTF">2020-10-16T02:15:03Z</dcterms:modified>
</cp:coreProperties>
</file>