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70" windowWidth="14985" windowHeight="7695" firstSheet="1" activeTab="1"/>
  </bookViews>
  <sheets>
    <sheet name="BoostToolkitClipBoard2010" sheetId="11" state="veryHidden" r:id="rId1"/>
    <sheet name="SimpleOutput" sheetId="15" r:id="rId2"/>
    <sheet name="SimpleInput" sheetId="14" r:id="rId3"/>
  </sheets>
  <externalReferences>
    <externalReference r:id="rId4"/>
    <externalReference r:id="rId5"/>
  </externalReferences>
  <definedNames>
    <definedName name="Inv_Cap">[1]Results!$E$182:$AD$182</definedName>
    <definedName name="NOPLAT">[1]Results!$E$145:$AD$145</definedName>
    <definedName name="One">'[1]Forecast Drivers'!$D$330</definedName>
    <definedName name="Products">[2]Array0!$B$5:$C$7</definedName>
    <definedName name="Rev">'[1]Forecast Drivers'!$E$25:$S$25</definedName>
  </definedNames>
  <calcPr calcId="145621"/>
</workbook>
</file>

<file path=xl/calcChain.xml><?xml version="1.0" encoding="utf-8"?>
<calcChain xmlns="http://schemas.openxmlformats.org/spreadsheetml/2006/main">
  <c r="T22" i="15" l="1"/>
  <c r="S22" i="15"/>
  <c r="R22" i="15"/>
  <c r="Q22" i="15"/>
  <c r="P22" i="15"/>
  <c r="N22" i="15"/>
  <c r="M22" i="15"/>
  <c r="L22" i="15"/>
  <c r="K22" i="15"/>
  <c r="I22" i="15"/>
  <c r="H22" i="15"/>
  <c r="G22" i="15"/>
  <c r="T21" i="15"/>
  <c r="S21" i="15"/>
  <c r="R21" i="15"/>
  <c r="Q21" i="15"/>
  <c r="P21" i="15"/>
  <c r="N21" i="15"/>
  <c r="M21" i="15"/>
  <c r="L21" i="15"/>
  <c r="K21" i="15"/>
  <c r="I21" i="15"/>
  <c r="H21" i="15"/>
  <c r="G21" i="15"/>
  <c r="F22" i="15"/>
  <c r="F21" i="15"/>
  <c r="T20" i="15"/>
  <c r="S20" i="15"/>
  <c r="R20" i="15"/>
  <c r="Q20" i="15"/>
  <c r="P20" i="15"/>
  <c r="N20" i="15"/>
  <c r="M20" i="15"/>
  <c r="L20" i="15"/>
  <c r="K20" i="15"/>
  <c r="I20" i="15"/>
  <c r="H20" i="15"/>
  <c r="G20" i="15"/>
  <c r="F20" i="15"/>
  <c r="T19" i="15"/>
  <c r="S19" i="15"/>
  <c r="R19" i="15"/>
  <c r="Q19" i="15"/>
  <c r="P19" i="15"/>
  <c r="N19" i="15"/>
  <c r="M19" i="15"/>
  <c r="L19" i="15"/>
  <c r="K19" i="15"/>
  <c r="I19" i="15"/>
  <c r="H19" i="15"/>
  <c r="G19" i="15"/>
  <c r="F19" i="15"/>
  <c r="G19" i="14" l="1"/>
  <c r="G135" i="14" s="1"/>
  <c r="H19" i="14"/>
  <c r="I19" i="14"/>
  <c r="I136" i="14" s="1"/>
  <c r="I139" i="14" s="1"/>
  <c r="J19" i="14"/>
  <c r="K19" i="14"/>
  <c r="K135" i="14" s="1"/>
  <c r="L19" i="14"/>
  <c r="L135" i="14" s="1"/>
  <c r="G23" i="14"/>
  <c r="H23" i="14"/>
  <c r="I23" i="14"/>
  <c r="J23" i="14"/>
  <c r="K23" i="14"/>
  <c r="L23" i="14"/>
  <c r="G26" i="14"/>
  <c r="G29" i="14" s="1"/>
  <c r="H26" i="14"/>
  <c r="I26" i="14"/>
  <c r="I29" i="14" s="1"/>
  <c r="I33" i="14" s="1"/>
  <c r="I35" i="14" s="1"/>
  <c r="J26" i="14"/>
  <c r="K26" i="14"/>
  <c r="K29" i="14" s="1"/>
  <c r="L26" i="14"/>
  <c r="H29" i="14"/>
  <c r="H40" i="14" s="1"/>
  <c r="J29" i="14"/>
  <c r="L29" i="14"/>
  <c r="L33" i="14" s="1"/>
  <c r="L35" i="14" s="1"/>
  <c r="H33" i="14"/>
  <c r="H35" i="14" s="1"/>
  <c r="J33" i="14"/>
  <c r="J35" i="14"/>
  <c r="J40" i="14"/>
  <c r="J92" i="14" s="1"/>
  <c r="L40" i="14"/>
  <c r="L92" i="14" s="1"/>
  <c r="G42" i="14"/>
  <c r="H42" i="14"/>
  <c r="I42" i="14"/>
  <c r="J42" i="14"/>
  <c r="K42" i="14"/>
  <c r="L42" i="14"/>
  <c r="G45" i="14"/>
  <c r="G48" i="14" s="1"/>
  <c r="H45" i="14"/>
  <c r="H48" i="14" s="1"/>
  <c r="I45" i="14"/>
  <c r="J45" i="14"/>
  <c r="K45" i="14"/>
  <c r="K48" i="14" s="1"/>
  <c r="L45" i="14"/>
  <c r="I48" i="14"/>
  <c r="I52" i="14" s="1"/>
  <c r="I54" i="14" s="1"/>
  <c r="J48" i="14"/>
  <c r="J52" i="14" s="1"/>
  <c r="J54" i="14" s="1"/>
  <c r="L48" i="14"/>
  <c r="L52" i="14" s="1"/>
  <c r="L54" i="14" s="1"/>
  <c r="J59" i="14"/>
  <c r="G61" i="14"/>
  <c r="H61" i="14"/>
  <c r="I61" i="14"/>
  <c r="J61" i="14"/>
  <c r="K61" i="14"/>
  <c r="L61" i="14"/>
  <c r="G64" i="14"/>
  <c r="G67" i="14" s="1"/>
  <c r="H64" i="14"/>
  <c r="I64" i="14"/>
  <c r="J64" i="14"/>
  <c r="K64" i="14"/>
  <c r="K67" i="14" s="1"/>
  <c r="L64" i="14"/>
  <c r="H67" i="14"/>
  <c r="I67" i="14"/>
  <c r="I71" i="14" s="1"/>
  <c r="I73" i="14" s="1"/>
  <c r="J67" i="14"/>
  <c r="J71" i="14" s="1"/>
  <c r="J73" i="14" s="1"/>
  <c r="L67" i="14"/>
  <c r="H71" i="14"/>
  <c r="H73" i="14" s="1"/>
  <c r="L71" i="14"/>
  <c r="L73" i="14" s="1"/>
  <c r="H78" i="14"/>
  <c r="L78" i="14"/>
  <c r="G80" i="14"/>
  <c r="H80" i="14"/>
  <c r="I80" i="14"/>
  <c r="J80" i="14"/>
  <c r="K80" i="14"/>
  <c r="L80" i="14"/>
  <c r="G83" i="14"/>
  <c r="H83" i="14"/>
  <c r="I83" i="14"/>
  <c r="J83" i="14"/>
  <c r="J144" i="14" s="1"/>
  <c r="K83" i="14"/>
  <c r="L83" i="14"/>
  <c r="L85" i="14"/>
  <c r="G86" i="14"/>
  <c r="H86" i="14"/>
  <c r="I86" i="14"/>
  <c r="I147" i="14" s="1"/>
  <c r="J86" i="14"/>
  <c r="J147" i="14" s="1"/>
  <c r="K86" i="14"/>
  <c r="L86" i="14"/>
  <c r="G88" i="14"/>
  <c r="H88" i="14"/>
  <c r="I88" i="14"/>
  <c r="J88" i="14"/>
  <c r="K88" i="14"/>
  <c r="L88" i="14"/>
  <c r="G90" i="14"/>
  <c r="H90" i="14"/>
  <c r="I90" i="14"/>
  <c r="J90" i="14"/>
  <c r="K90" i="14"/>
  <c r="L90" i="14"/>
  <c r="G91" i="14"/>
  <c r="H91" i="14"/>
  <c r="I91" i="14"/>
  <c r="J91" i="14"/>
  <c r="K91" i="14"/>
  <c r="L91" i="14"/>
  <c r="H93" i="14"/>
  <c r="J93" i="14"/>
  <c r="G94" i="14"/>
  <c r="H94" i="14"/>
  <c r="I94" i="14"/>
  <c r="J94" i="14"/>
  <c r="K94" i="14"/>
  <c r="L94" i="14"/>
  <c r="G96" i="14"/>
  <c r="H96" i="14"/>
  <c r="I96" i="14"/>
  <c r="J96" i="14"/>
  <c r="K96" i="14"/>
  <c r="L96" i="14"/>
  <c r="G105" i="14"/>
  <c r="H105" i="14"/>
  <c r="I105" i="14"/>
  <c r="J105" i="14"/>
  <c r="K105" i="14"/>
  <c r="L105" i="14"/>
  <c r="G114" i="14"/>
  <c r="H114" i="14"/>
  <c r="I114" i="14"/>
  <c r="J114" i="14"/>
  <c r="K114" i="14"/>
  <c r="L114" i="14"/>
  <c r="G132" i="14"/>
  <c r="H132" i="14"/>
  <c r="I132" i="14"/>
  <c r="J132" i="14"/>
  <c r="K132" i="14"/>
  <c r="L132" i="14"/>
  <c r="G134" i="14"/>
  <c r="G152" i="14" s="1"/>
  <c r="G159" i="14" s="1"/>
  <c r="H134" i="14"/>
  <c r="I134" i="14"/>
  <c r="I152" i="14" s="1"/>
  <c r="I159" i="14" s="1"/>
  <c r="J134" i="14"/>
  <c r="J152" i="14" s="1"/>
  <c r="J159" i="14" s="1"/>
  <c r="K134" i="14"/>
  <c r="K152" i="14" s="1"/>
  <c r="K159" i="14" s="1"/>
  <c r="L134" i="14"/>
  <c r="H135" i="14"/>
  <c r="I135" i="14"/>
  <c r="J135" i="14"/>
  <c r="G136" i="14"/>
  <c r="H136" i="14"/>
  <c r="J136" i="14"/>
  <c r="K136" i="14"/>
  <c r="L136" i="14"/>
  <c r="G138" i="14"/>
  <c r="H138" i="14"/>
  <c r="I138" i="14"/>
  <c r="J138" i="14"/>
  <c r="K138" i="14"/>
  <c r="L138" i="14"/>
  <c r="G139" i="14"/>
  <c r="G144" i="14" s="1"/>
  <c r="H139" i="14"/>
  <c r="H149" i="14" s="1"/>
  <c r="J139" i="14"/>
  <c r="K139" i="14"/>
  <c r="K149" i="14" s="1"/>
  <c r="L139" i="14"/>
  <c r="L146" i="14" s="1"/>
  <c r="G141" i="14"/>
  <c r="H141" i="14"/>
  <c r="I141" i="14"/>
  <c r="J141" i="14"/>
  <c r="K141" i="14"/>
  <c r="L141" i="14"/>
  <c r="G147" i="14"/>
  <c r="H147" i="14"/>
  <c r="K147" i="14"/>
  <c r="L147" i="14"/>
  <c r="J149" i="14"/>
  <c r="J150" i="14"/>
  <c r="J151" i="14"/>
  <c r="H152" i="14"/>
  <c r="H159" i="14" s="1"/>
  <c r="L152" i="14"/>
  <c r="L159" i="14" s="1"/>
  <c r="J154" i="14"/>
  <c r="J155" i="14"/>
  <c r="J156" i="14"/>
  <c r="H157" i="14"/>
  <c r="L157" i="14"/>
  <c r="A17" i="15"/>
  <c r="A16" i="15"/>
  <c r="A15" i="15"/>
  <c r="A14" i="15"/>
  <c r="A9" i="15"/>
  <c r="A8" i="15"/>
  <c r="A7" i="15"/>
  <c r="A6" i="15"/>
  <c r="B17" i="15"/>
  <c r="B16" i="15"/>
  <c r="B15" i="15"/>
  <c r="B14" i="15"/>
  <c r="T9" i="15"/>
  <c r="S9" i="15"/>
  <c r="R9" i="15"/>
  <c r="P9" i="15"/>
  <c r="N9" i="15"/>
  <c r="M9" i="15"/>
  <c r="K9" i="15"/>
  <c r="I9" i="15"/>
  <c r="F9" i="15"/>
  <c r="B9" i="15"/>
  <c r="T8" i="15"/>
  <c r="S8" i="15"/>
  <c r="R8" i="15"/>
  <c r="P8" i="15"/>
  <c r="N8" i="15"/>
  <c r="M8" i="15"/>
  <c r="K8" i="15"/>
  <c r="I8" i="15"/>
  <c r="F8" i="15"/>
  <c r="B8" i="15"/>
  <c r="T7" i="15"/>
  <c r="S7" i="15"/>
  <c r="R7" i="15"/>
  <c r="P7" i="15"/>
  <c r="N7" i="15"/>
  <c r="M7" i="15"/>
  <c r="K7" i="15"/>
  <c r="I7" i="15"/>
  <c r="F7" i="15"/>
  <c r="B7" i="15"/>
  <c r="T6" i="15"/>
  <c r="S6" i="15"/>
  <c r="R6" i="15"/>
  <c r="P6" i="15"/>
  <c r="N6" i="15"/>
  <c r="M6" i="15"/>
  <c r="K6" i="15"/>
  <c r="I6" i="15"/>
  <c r="F6" i="15"/>
  <c r="B6" i="15"/>
  <c r="F141" i="14"/>
  <c r="E141" i="14"/>
  <c r="D141" i="14"/>
  <c r="C141" i="14"/>
  <c r="F132" i="14"/>
  <c r="E132" i="14"/>
  <c r="D132" i="14"/>
  <c r="C132" i="14"/>
  <c r="F114" i="14"/>
  <c r="E114" i="14"/>
  <c r="D114" i="14"/>
  <c r="C114" i="14"/>
  <c r="F105" i="14"/>
  <c r="E105" i="14"/>
  <c r="D105" i="14"/>
  <c r="C105" i="14"/>
  <c r="F96" i="14"/>
  <c r="E96" i="14"/>
  <c r="D96" i="14"/>
  <c r="C96" i="14"/>
  <c r="F88" i="14"/>
  <c r="E88" i="14"/>
  <c r="D88" i="14"/>
  <c r="C88" i="14"/>
  <c r="F80" i="14"/>
  <c r="E80" i="14"/>
  <c r="D80" i="14"/>
  <c r="C80" i="14"/>
  <c r="F61" i="14"/>
  <c r="E61" i="14"/>
  <c r="D61" i="14"/>
  <c r="C61" i="14"/>
  <c r="F42" i="14"/>
  <c r="E42" i="14"/>
  <c r="D42" i="14"/>
  <c r="C42" i="14"/>
  <c r="F23" i="14"/>
  <c r="E23" i="14"/>
  <c r="D23" i="14"/>
  <c r="C23" i="14"/>
  <c r="F134" i="14"/>
  <c r="F152" i="14" s="1"/>
  <c r="F159" i="14" s="1"/>
  <c r="D134" i="14"/>
  <c r="D157" i="14" s="1"/>
  <c r="E134" i="14"/>
  <c r="E157" i="14" s="1"/>
  <c r="C134" i="14"/>
  <c r="C157" i="14" s="1"/>
  <c r="C98" i="14"/>
  <c r="D98" i="14" s="1"/>
  <c r="Q9" i="15"/>
  <c r="E109" i="14"/>
  <c r="Q8" i="15" s="1"/>
  <c r="D109" i="14"/>
  <c r="Q7" i="15" s="1"/>
  <c r="C109" i="14"/>
  <c r="Q6" i="15" s="1"/>
  <c r="L9" i="15"/>
  <c r="E100" i="14"/>
  <c r="L8" i="15" s="1"/>
  <c r="D100" i="14"/>
  <c r="L7" i="15" s="1"/>
  <c r="C100" i="14"/>
  <c r="L6" i="15" s="1"/>
  <c r="C90" i="14"/>
  <c r="D86" i="14"/>
  <c r="D147" i="14" s="1"/>
  <c r="E86" i="14"/>
  <c r="E147" i="14" s="1"/>
  <c r="F86" i="14"/>
  <c r="F147" i="14" s="1"/>
  <c r="C86" i="14"/>
  <c r="C147" i="14" s="1"/>
  <c r="E126" i="14"/>
  <c r="F126" i="14"/>
  <c r="C126" i="14"/>
  <c r="D26" i="14"/>
  <c r="D19" i="14"/>
  <c r="D135" i="14" s="1"/>
  <c r="E19" i="14"/>
  <c r="E135" i="14" s="1"/>
  <c r="F19" i="14"/>
  <c r="F135" i="14" s="1"/>
  <c r="C19" i="14"/>
  <c r="C135" i="14" s="1"/>
  <c r="F91" i="14"/>
  <c r="E91" i="14"/>
  <c r="D91" i="14"/>
  <c r="C91" i="14"/>
  <c r="F90" i="14"/>
  <c r="E90" i="14"/>
  <c r="D90" i="14"/>
  <c r="F127" i="14"/>
  <c r="E127" i="14"/>
  <c r="C127" i="14"/>
  <c r="D123" i="14"/>
  <c r="D122" i="14"/>
  <c r="F83" i="14"/>
  <c r="E83" i="14"/>
  <c r="D83" i="14"/>
  <c r="C83" i="14"/>
  <c r="C77" i="14"/>
  <c r="F66" i="14"/>
  <c r="E66" i="14"/>
  <c r="D66" i="14"/>
  <c r="C66" i="14"/>
  <c r="F65" i="14"/>
  <c r="E65" i="14"/>
  <c r="D65" i="14"/>
  <c r="C65" i="14"/>
  <c r="F64" i="14"/>
  <c r="E64" i="14"/>
  <c r="D64" i="14"/>
  <c r="C64" i="14"/>
  <c r="C5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E39" i="14"/>
  <c r="D31" i="14"/>
  <c r="F28" i="14"/>
  <c r="E28" i="14"/>
  <c r="D28" i="14"/>
  <c r="C28" i="14"/>
  <c r="F27" i="14"/>
  <c r="E27" i="14"/>
  <c r="D27" i="14"/>
  <c r="C27" i="14"/>
  <c r="F26" i="14"/>
  <c r="F29" i="14" s="1"/>
  <c r="F40" i="14" s="1"/>
  <c r="E26" i="14"/>
  <c r="C26" i="14"/>
  <c r="D5" i="14"/>
  <c r="E5" i="14" s="1"/>
  <c r="F5" i="14" s="1"/>
  <c r="G5" i="14" s="1"/>
  <c r="H5" i="14" s="1"/>
  <c r="I5" i="14" s="1"/>
  <c r="J5" i="14" s="1"/>
  <c r="K5" i="14" s="1"/>
  <c r="L5" i="14" s="1"/>
  <c r="H92" i="14" l="1"/>
  <c r="I149" i="14"/>
  <c r="I154" i="14"/>
  <c r="I150" i="14"/>
  <c r="I151" i="14"/>
  <c r="I155" i="14"/>
  <c r="I156" i="14"/>
  <c r="I144" i="14"/>
  <c r="H59" i="14"/>
  <c r="H84" i="14" s="1"/>
  <c r="H145" i="14" s="1"/>
  <c r="H52" i="14"/>
  <c r="H54" i="14" s="1"/>
  <c r="L144" i="14"/>
  <c r="H144" i="14"/>
  <c r="K156" i="14"/>
  <c r="G156" i="14"/>
  <c r="K151" i="14"/>
  <c r="G151" i="14"/>
  <c r="L84" i="14"/>
  <c r="L145" i="14" s="1"/>
  <c r="J78" i="14"/>
  <c r="J84" i="14" s="1"/>
  <c r="J145" i="14" s="1"/>
  <c r="L59" i="14"/>
  <c r="J85" i="14"/>
  <c r="J146" i="14" s="1"/>
  <c r="L156" i="14"/>
  <c r="H156" i="14"/>
  <c r="L151" i="14"/>
  <c r="H151" i="14"/>
  <c r="K144" i="14"/>
  <c r="L93" i="14"/>
  <c r="H85" i="14"/>
  <c r="H146" i="14" s="1"/>
  <c r="J157" i="14"/>
  <c r="H155" i="14"/>
  <c r="H150" i="14"/>
  <c r="K154" i="14"/>
  <c r="G154" i="14"/>
  <c r="G149" i="14"/>
  <c r="I157" i="14"/>
  <c r="L155" i="14"/>
  <c r="L154" i="14"/>
  <c r="H154" i="14"/>
  <c r="L150" i="14"/>
  <c r="L149" i="14"/>
  <c r="K71" i="14"/>
  <c r="K73" i="14" s="1"/>
  <c r="K78" i="14"/>
  <c r="G78" i="14"/>
  <c r="G71" i="14"/>
  <c r="G73" i="14" s="1"/>
  <c r="K59" i="14"/>
  <c r="K52" i="14"/>
  <c r="K54" i="14" s="1"/>
  <c r="G52" i="14"/>
  <c r="G54" i="14" s="1"/>
  <c r="G59" i="14"/>
  <c r="K33" i="14"/>
  <c r="K35" i="14" s="1"/>
  <c r="K93" i="14"/>
  <c r="K40" i="14"/>
  <c r="K85" i="14"/>
  <c r="K146" i="14" s="1"/>
  <c r="G33" i="14"/>
  <c r="G35" i="14" s="1"/>
  <c r="G40" i="14"/>
  <c r="G85" i="14"/>
  <c r="G146" i="14" s="1"/>
  <c r="G93" i="14"/>
  <c r="N16" i="15"/>
  <c r="K157" i="14"/>
  <c r="G157" i="14"/>
  <c r="K155" i="14"/>
  <c r="G155" i="14"/>
  <c r="K150" i="14"/>
  <c r="G150" i="14"/>
  <c r="I93" i="14"/>
  <c r="I85" i="14"/>
  <c r="I146" i="14" s="1"/>
  <c r="I78" i="14"/>
  <c r="I59" i="14"/>
  <c r="I40" i="14"/>
  <c r="C8" i="15"/>
  <c r="C6" i="15"/>
  <c r="I14" i="15"/>
  <c r="I23" i="15" s="1"/>
  <c r="S16" i="15"/>
  <c r="C7" i="15"/>
  <c r="C9" i="15"/>
  <c r="N14" i="15"/>
  <c r="S14" i="15"/>
  <c r="S23" i="15" s="1"/>
  <c r="I16" i="15"/>
  <c r="I15" i="15"/>
  <c r="N15" i="15"/>
  <c r="S15" i="15"/>
  <c r="I17" i="15"/>
  <c r="N17" i="15"/>
  <c r="S17" i="15"/>
  <c r="T17" i="15"/>
  <c r="F157" i="14"/>
  <c r="C152" i="14"/>
  <c r="T14" i="15" s="1"/>
  <c r="T23" i="15" s="1"/>
  <c r="D152" i="14"/>
  <c r="T15" i="15" s="1"/>
  <c r="E152" i="14"/>
  <c r="T16" i="15" s="1"/>
  <c r="E98" i="14"/>
  <c r="D107" i="14"/>
  <c r="C107" i="14"/>
  <c r="F128" i="14"/>
  <c r="F138" i="14" s="1"/>
  <c r="D126" i="14"/>
  <c r="D128" i="14" s="1"/>
  <c r="D138" i="14" s="1"/>
  <c r="C128" i="14"/>
  <c r="C138" i="14" s="1"/>
  <c r="E128" i="14"/>
  <c r="E138" i="14" s="1"/>
  <c r="C48" i="14"/>
  <c r="C52" i="14" s="1"/>
  <c r="F48" i="14"/>
  <c r="F52" i="14" s="1"/>
  <c r="F67" i="14"/>
  <c r="F78" i="14" s="1"/>
  <c r="E67" i="14"/>
  <c r="E71" i="14" s="1"/>
  <c r="E29" i="14"/>
  <c r="D48" i="14"/>
  <c r="D59" i="14" s="1"/>
  <c r="F93" i="14"/>
  <c r="E48" i="14"/>
  <c r="E52" i="14" s="1"/>
  <c r="C67" i="14"/>
  <c r="C78" i="14" s="1"/>
  <c r="C29" i="14"/>
  <c r="D67" i="14"/>
  <c r="D71" i="14" s="1"/>
  <c r="D29" i="14"/>
  <c r="G84" i="14" l="1"/>
  <c r="G145" i="14" s="1"/>
  <c r="G92" i="14"/>
  <c r="I84" i="14"/>
  <c r="I145" i="14" s="1"/>
  <c r="I92" i="14"/>
  <c r="K84" i="14"/>
  <c r="K145" i="14" s="1"/>
  <c r="K92" i="14"/>
  <c r="H8" i="15"/>
  <c r="N23" i="15"/>
  <c r="H9" i="15"/>
  <c r="H6" i="15"/>
  <c r="H7" i="15"/>
  <c r="D93" i="14"/>
  <c r="C93" i="14"/>
  <c r="E40" i="14"/>
  <c r="E159" i="14"/>
  <c r="D159" i="14"/>
  <c r="C159" i="14"/>
  <c r="F98" i="14"/>
  <c r="G98" i="14" s="1"/>
  <c r="E107" i="14"/>
  <c r="C59" i="14"/>
  <c r="D73" i="14"/>
  <c r="E73" i="14"/>
  <c r="C54" i="14"/>
  <c r="F54" i="14"/>
  <c r="E54" i="14"/>
  <c r="E78" i="14"/>
  <c r="C33" i="14"/>
  <c r="E93" i="14"/>
  <c r="E59" i="14"/>
  <c r="D40" i="14"/>
  <c r="D33" i="14"/>
  <c r="D35" i="14" s="1"/>
  <c r="D52" i="14"/>
  <c r="F85" i="14"/>
  <c r="C40" i="14"/>
  <c r="F33" i="14"/>
  <c r="F71" i="14"/>
  <c r="D85" i="14"/>
  <c r="F59" i="14"/>
  <c r="G9" i="15" s="1"/>
  <c r="E85" i="14"/>
  <c r="D78" i="14"/>
  <c r="C85" i="14"/>
  <c r="E33" i="14"/>
  <c r="C71" i="14"/>
  <c r="C136" i="14"/>
  <c r="D6" i="15" s="1"/>
  <c r="E136" i="14"/>
  <c r="D8" i="15" s="1"/>
  <c r="F136" i="14"/>
  <c r="D9" i="15" s="1"/>
  <c r="D136" i="14"/>
  <c r="D7" i="15" s="1"/>
  <c r="G107" i="14" l="1"/>
  <c r="H98" i="14"/>
  <c r="E139" i="14"/>
  <c r="E150" i="14" s="1"/>
  <c r="E92" i="14"/>
  <c r="G8" i="15"/>
  <c r="C139" i="14"/>
  <c r="C154" i="14" s="1"/>
  <c r="D139" i="14"/>
  <c r="D151" i="14" s="1"/>
  <c r="F139" i="14"/>
  <c r="F151" i="14" s="1"/>
  <c r="G6" i="15"/>
  <c r="G7" i="15"/>
  <c r="C92" i="14"/>
  <c r="D92" i="14"/>
  <c r="E154" i="14"/>
  <c r="D146" i="14"/>
  <c r="F155" i="14"/>
  <c r="F107" i="14"/>
  <c r="E84" i="14"/>
  <c r="E145" i="14" s="1"/>
  <c r="C73" i="14"/>
  <c r="F73" i="14"/>
  <c r="D54" i="14"/>
  <c r="F35" i="14"/>
  <c r="E35" i="14"/>
  <c r="C35" i="14"/>
  <c r="D94" i="14"/>
  <c r="D84" i="14"/>
  <c r="C84" i="14"/>
  <c r="F84" i="14"/>
  <c r="F92" i="14"/>
  <c r="D154" i="14" l="1"/>
  <c r="E155" i="14"/>
  <c r="C146" i="14"/>
  <c r="E149" i="14"/>
  <c r="E146" i="14"/>
  <c r="E156" i="14"/>
  <c r="F149" i="14"/>
  <c r="F146" i="14"/>
  <c r="F150" i="14"/>
  <c r="I98" i="14"/>
  <c r="H107" i="14"/>
  <c r="F154" i="14"/>
  <c r="C155" i="14"/>
  <c r="C156" i="14"/>
  <c r="C150" i="14"/>
  <c r="C149" i="14"/>
  <c r="C145" i="14"/>
  <c r="D145" i="14"/>
  <c r="D149" i="14"/>
  <c r="D155" i="14"/>
  <c r="D150" i="14"/>
  <c r="D156" i="14"/>
  <c r="P17" i="15"/>
  <c r="K17" i="15"/>
  <c r="F17" i="15"/>
  <c r="R17" i="15"/>
  <c r="M17" i="15"/>
  <c r="H17" i="15"/>
  <c r="Q17" i="15"/>
  <c r="L17" i="15"/>
  <c r="G17" i="15"/>
  <c r="R14" i="15"/>
  <c r="R23" i="15" s="1"/>
  <c r="M14" i="15"/>
  <c r="M23" i="15" s="1"/>
  <c r="H14" i="15"/>
  <c r="H23" i="15" s="1"/>
  <c r="Q14" i="15"/>
  <c r="Q23" i="15" s="1"/>
  <c r="L14" i="15"/>
  <c r="L23" i="15" s="1"/>
  <c r="G14" i="15"/>
  <c r="G23" i="15" s="1"/>
  <c r="P14" i="15"/>
  <c r="P23" i="15" s="1"/>
  <c r="K14" i="15"/>
  <c r="K23" i="15" s="1"/>
  <c r="F14" i="15"/>
  <c r="F23" i="15" s="1"/>
  <c r="R16" i="15"/>
  <c r="M16" i="15"/>
  <c r="H16" i="15"/>
  <c r="Q16" i="15"/>
  <c r="L16" i="15"/>
  <c r="G16" i="15"/>
  <c r="P16" i="15"/>
  <c r="K16" i="15"/>
  <c r="F16" i="15"/>
  <c r="F145" i="14"/>
  <c r="F144" i="14"/>
  <c r="F156" i="14"/>
  <c r="C144" i="14"/>
  <c r="C151" i="14"/>
  <c r="D144" i="14"/>
  <c r="E144" i="14"/>
  <c r="E151" i="14"/>
  <c r="P15" i="15"/>
  <c r="K15" i="15"/>
  <c r="F15" i="15"/>
  <c r="R15" i="15"/>
  <c r="M15" i="15"/>
  <c r="H15" i="15"/>
  <c r="Q15" i="15"/>
  <c r="L15" i="15"/>
  <c r="G15" i="15"/>
  <c r="C94" i="14"/>
  <c r="E94" i="14"/>
  <c r="F94" i="14"/>
  <c r="I107" i="14" l="1"/>
  <c r="J98" i="14"/>
  <c r="K98" i="14" l="1"/>
  <c r="J107" i="14"/>
  <c r="K107" i="14" l="1"/>
  <c r="L98" i="14"/>
  <c r="L107" i="14" s="1"/>
</calcChain>
</file>

<file path=xl/sharedStrings.xml><?xml version="1.0" encoding="utf-8"?>
<sst xmlns="http://schemas.openxmlformats.org/spreadsheetml/2006/main" count="213" uniqueCount="126">
  <si>
    <t>Comments</t>
  </si>
  <si>
    <t>EXTR</t>
  </si>
  <si>
    <t>Ticker</t>
  </si>
  <si>
    <t>Date of latest filing</t>
  </si>
  <si>
    <t>Company name</t>
  </si>
  <si>
    <t>Stock price on current date</t>
  </si>
  <si>
    <t xml:space="preserve">Basic shares outstanding </t>
  </si>
  <si>
    <t>Net shares from exercisable options</t>
  </si>
  <si>
    <t>Total shares from convertible debt</t>
  </si>
  <si>
    <t>Total shares from convertible preferred</t>
  </si>
  <si>
    <t>Fully diluted shares</t>
  </si>
  <si>
    <t>LAST FISCAL YEAR</t>
  </si>
  <si>
    <t>Revenues</t>
  </si>
  <si>
    <t>Less: COGS</t>
  </si>
  <si>
    <t>Less: SG&amp;A</t>
  </si>
  <si>
    <t>EBIT</t>
  </si>
  <si>
    <t>Less: Interest expense</t>
  </si>
  <si>
    <t>Less: Other expenses</t>
  </si>
  <si>
    <t>Less: Non-operating expense</t>
  </si>
  <si>
    <t>Plus: Non-operating income</t>
  </si>
  <si>
    <t>EBITDA</t>
  </si>
  <si>
    <t>Depreciation and amortization expense</t>
  </si>
  <si>
    <t>Recall that LTM = annual + latest quarter - quarter 1 year prior to latest quarter</t>
  </si>
  <si>
    <t>LAST QUARTER</t>
  </si>
  <si>
    <t>LAST QUARTER MINUS 1 YEAR</t>
  </si>
  <si>
    <t>EPS</t>
  </si>
  <si>
    <t>Source Document</t>
  </si>
  <si>
    <t>10-Q (1Q)</t>
  </si>
  <si>
    <t>10-Q (2Q)</t>
  </si>
  <si>
    <t>10-Q (3Q)</t>
  </si>
  <si>
    <t>ST debt (incl. current portion of LT debt)</t>
  </si>
  <si>
    <t>LT debt</t>
  </si>
  <si>
    <t>Preferred stock</t>
  </si>
  <si>
    <t>Less: Cash &amp; Cash equivalents</t>
  </si>
  <si>
    <t>Net debt</t>
  </si>
  <si>
    <t>Enter as a negative #</t>
  </si>
  <si>
    <t>EPS - latest FYE</t>
  </si>
  <si>
    <t>EBIT - latest FYE</t>
  </si>
  <si>
    <t>EBITDA - latest FYE</t>
  </si>
  <si>
    <t>Revenues - latest FYE</t>
  </si>
  <si>
    <t>BRCD</t>
  </si>
  <si>
    <t>JNPR</t>
  </si>
  <si>
    <t>NTGR</t>
  </si>
  <si>
    <t xml:space="preserve">Date of latest fiscal year end (FYE) </t>
  </si>
  <si>
    <t>COMPARABLE COMPANY ANALYSIS OUTPUT</t>
  </si>
  <si>
    <t>Last Twelve Months (LTM)</t>
  </si>
  <si>
    <t>Year 1</t>
  </si>
  <si>
    <t>Year 2</t>
  </si>
  <si>
    <t>Long-term growth rate</t>
  </si>
  <si>
    <t>Mean</t>
  </si>
  <si>
    <t>High</t>
  </si>
  <si>
    <t>Low</t>
  </si>
  <si>
    <t>Median</t>
  </si>
  <si>
    <t>P/E</t>
  </si>
  <si>
    <t>Extreme Networks, Inc.</t>
  </si>
  <si>
    <t>Non-operating income includes interest income and any other non-operating income</t>
  </si>
  <si>
    <t>Juniper Networks</t>
  </si>
  <si>
    <t>Netgear</t>
  </si>
  <si>
    <t>Brocade Communi.</t>
  </si>
  <si>
    <t>Note: If your company has amortization related to bond discounts / premiums, do not include that in this line item.  Such amortization is accounted for in interest expense</t>
  </si>
  <si>
    <t>Less: Taxes (Benefit)</t>
  </si>
  <si>
    <t>Balance sheet data</t>
  </si>
  <si>
    <t>Input company name</t>
  </si>
  <si>
    <t>Market data inputs</t>
  </si>
  <si>
    <t>Shares data</t>
  </si>
  <si>
    <t xml:space="preserve">Financials </t>
  </si>
  <si>
    <t>Pretax income</t>
  </si>
  <si>
    <t>Noncontrolling interests</t>
  </si>
  <si>
    <t>Gross debt</t>
  </si>
  <si>
    <t>LAST TWELVE MONTHS (LTM)</t>
  </si>
  <si>
    <t>Diluted EPS</t>
  </si>
  <si>
    <t>Other data</t>
  </si>
  <si>
    <t>YEAR 1 FORECAST - CALENDAR YEAR</t>
  </si>
  <si>
    <t>YEAR 2 FORECAST - CALENDAR YEAR</t>
  </si>
  <si>
    <t>S&amp;P/CIQ</t>
  </si>
  <si>
    <t>Source for estimates:</t>
  </si>
  <si>
    <t>Year ending date</t>
  </si>
  <si>
    <t>LTM ending date:</t>
  </si>
  <si>
    <t>Revenues - LTM</t>
  </si>
  <si>
    <t>EBITDA - LTM</t>
  </si>
  <si>
    <t>EBIT - LTM</t>
  </si>
  <si>
    <t>EPS - LTM</t>
  </si>
  <si>
    <t>LONG TERM (5 YEAR) GROWTH RATE</t>
  </si>
  <si>
    <t>Revenues - Year 1</t>
  </si>
  <si>
    <t>EBITDA - Year 1</t>
  </si>
  <si>
    <t>EBIT - Year 1</t>
  </si>
  <si>
    <t>EPS - Year 1</t>
  </si>
  <si>
    <t>Revenues - Year 2</t>
  </si>
  <si>
    <t>EBITDA - Year 2</t>
  </si>
  <si>
    <t>EBIT - Year 2</t>
  </si>
  <si>
    <t>EPS - Year 2</t>
  </si>
  <si>
    <t>Multiples</t>
  </si>
  <si>
    <t xml:space="preserve">EV / Revenues - LTM </t>
  </si>
  <si>
    <t xml:space="preserve">EV / EBITDA - LTM </t>
  </si>
  <si>
    <t xml:space="preserve">EV / EBIT - LTM </t>
  </si>
  <si>
    <t xml:space="preserve">P/E - LTM </t>
  </si>
  <si>
    <t>EV / Revenues - Year 1</t>
  </si>
  <si>
    <t>EV / EBITDA - Year 1</t>
  </si>
  <si>
    <t>EV / EBIT - Year 1</t>
  </si>
  <si>
    <t>P/E - Year 1</t>
  </si>
  <si>
    <t>EV / Revenues - Year 2</t>
  </si>
  <si>
    <t>EV / EBITDA - Year 2</t>
  </si>
  <si>
    <t>EV / EBIT - Year 2</t>
  </si>
  <si>
    <t>P/E - Year 2</t>
  </si>
  <si>
    <t>PE/LTG (PEG ratio)</t>
  </si>
  <si>
    <t>Enterprise value (EV)</t>
  </si>
  <si>
    <t>Share price</t>
  </si>
  <si>
    <t>Diluted shares outstanding (mm)</t>
  </si>
  <si>
    <t>Market capitalization (mm)</t>
  </si>
  <si>
    <t>MARKET VALUATION</t>
  </si>
  <si>
    <t>MULTIPLES SUMMARY</t>
  </si>
  <si>
    <t>Last twelve month (LTM)</t>
  </si>
  <si>
    <t xml:space="preserve">Revenues </t>
  </si>
  <si>
    <t>EV / Revenues</t>
  </si>
  <si>
    <t>EV / EBITDA</t>
  </si>
  <si>
    <t>EV / EBIT</t>
  </si>
  <si>
    <t xml:space="preserve">P/E </t>
  </si>
  <si>
    <t>LT growth rate</t>
  </si>
  <si>
    <t>PEG ratio</t>
  </si>
  <si>
    <t>Year 1 Forecast - Calendar Year</t>
  </si>
  <si>
    <t>Year 2 Forecast - Calendar Year</t>
  </si>
  <si>
    <t>Name</t>
  </si>
  <si>
    <t>COMPARABLE COMPANY ANALYSIS INPUT</t>
  </si>
  <si>
    <t xml:space="preserve">Gross Profit </t>
  </si>
  <si>
    <t xml:space="preserve">Net Income </t>
  </si>
  <si>
    <t>Share price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</si>
</sst>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#,##0.00_);\(#,##0\)"/>
    <numFmt numFmtId="165" formatCode="#,##0.0%_);\(#,##0.0%\)"/>
    <numFmt numFmtId="166" formatCode="0.0\ \x"/>
    <numFmt numFmtId="167" formatCode="#,##0.00\ ;\(#,##0.00\)"/>
    <numFmt numFmtId="168" formatCode="&quot;$&quot;#,##0.00\ ;\(&quot;$&quot;#,##0.00\)"/>
    <numFmt numFmtId="169" formatCode="0.0%_);\(0.0%\)"/>
    <numFmt numFmtId="170" formatCode="0.000\ \x&quot;rate&quot;"/>
    <numFmt numFmtId="171" formatCode="#,##0.000_);[Red]\(#,##0.000\)"/>
    <numFmt numFmtId="172" formatCode="0.00_);\(0.00\);0.00"/>
    <numFmt numFmtId="173" formatCode="\C&quot;$&quot;#,##0.00_);[Red]\(&quot;$&quot;#,##0.00\)"/>
    <numFmt numFmtId="174" formatCode="#,##0%_);\(#,##0.0%\)"/>
    <numFmt numFmtId="175" formatCode="_(* #,##0.00000000_);_(* \(#,##0.00000000\);_(* &quot;-&quot;?_);_(@_)"/>
    <numFmt numFmtId="176" formatCode="mmm\-d\-yyyy"/>
    <numFmt numFmtId="177" formatCode="mmm\-yyyy"/>
    <numFmt numFmtId="178" formatCode="yyyy"/>
    <numFmt numFmtId="179" formatCode="0.00\x&quot;rate&quot;"/>
    <numFmt numFmtId="180" formatCode="0.0&quot;  &quot;"/>
    <numFmt numFmtId="181" formatCode="&quot;$&quot;#,##0.0\ ;[Red]\(&quot;$&quot;#,##0\)"/>
    <numFmt numFmtId="182" formatCode="_(&quot;$&quot;* #,##0.00_);_(&quot;$&quot;* \(#,##0.00\);_(&quot;$&quot;* &quot;-&quot;?_);_(@_)"/>
    <numFmt numFmtId="183" formatCode="&quot;$&quot;#,##0.000_);[Red]\(&quot;$&quot;#,##0.000\)"/>
    <numFmt numFmtId="184" formatCode="&quot;$&quot;#,##0.00&quot;A&quot;;[Red]\(&quot;$&quot;#,##0.00\)&quot;A&quot;"/>
    <numFmt numFmtId="185" formatCode="#,##0.0\ ;[Red]\(&quot;$&quot;#,##0\)"/>
    <numFmt numFmtId="186" formatCode="&quot;$&quot;#,##0.00&quot;E&quot;;[Red]\(&quot;$&quot;#,##0.00\)&quot;E&quot;"/>
    <numFmt numFmtId="187" formatCode="_([$€-2]* #,##0.00_);_([$€-2]* \(#,##0.00\);_([$€-2]* &quot;-&quot;??_)"/>
    <numFmt numFmtId="188" formatCode="#,##0.00;\(#,##0.00\)"/>
    <numFmt numFmtId="189" formatCode=".%\,\(0.0%%;\t"/>
    <numFmt numFmtId="190" formatCode="#,##0.0_);[Red]\(#,##0.0\)"/>
    <numFmt numFmtId="191" formatCode="0.0%_);[Red]\(0.0%\)"/>
    <numFmt numFmtId="192" formatCode="0.00_);\(0.00\);0.00_)"/>
    <numFmt numFmtId="193" formatCode="0.0%"/>
    <numFmt numFmtId="194" formatCode="#,##0\x"/>
    <numFmt numFmtId="195" formatCode="&quot;TKR&quot;\ 0"/>
    <numFmt numFmtId="196" formatCode=".%\,\(0.%%;\t"/>
    <numFmt numFmtId="197" formatCode="&quot;$&quot;#,###.0\ \ "/>
    <numFmt numFmtId="198" formatCode="#,##0.00\x_);[Red]\(#,##0.00\x\)"/>
    <numFmt numFmtId="199" formatCode="#,##0.0_);\(#,##0.0\)"/>
    <numFmt numFmtId="200" formatCode="#,##0.000_);\(#,##0.000\)"/>
    <numFmt numFmtId="201" formatCode="#,##0.00\x_);[Red]\(#,##0.00\x\);&quot;--  &quot;"/>
    <numFmt numFmtId="202" formatCode="_(* #,##0.0_);_(* \(#,##0.0\);_(* &quot;-&quot;??_);_(@_)"/>
    <numFmt numFmtId="203" formatCode="0.0\x_);[Red]\(0.0\x\)"/>
    <numFmt numFmtId="204" formatCode="0.0\ "/>
    <numFmt numFmtId="205" formatCode="&quot;$&quot;#,##0.0;\(&quot;$&quot;#,##0.00\)"/>
    <numFmt numFmtId="206" formatCode="#,##0.00%_);\(#,##0.00%\)"/>
    <numFmt numFmtId="207" formatCode="0.00\%;\-0.00\%;0.00\%"/>
    <numFmt numFmtId="208" formatCode="0.0%\ ;\(0.0%\)"/>
    <numFmt numFmtId="209" formatCode="_(&quot;$&quot;* #,##0_);_(&quot;$&quot;* \(#,##0\);_(&quot;$&quot;* &quot;-&quot;??_);_(@_)"/>
    <numFmt numFmtId="210" formatCode="&quot;$&quot;0.00\ "/>
    <numFmt numFmtId="211" formatCode="0.0\ \ \ \ \ "/>
    <numFmt numFmtId="212" formatCode="0.00\x;\-0.00\x;0.00\x"/>
    <numFmt numFmtId="213" formatCode="&quot;$&quot;#,##0.000_);\(&quot;$&quot;#,##0.000\)"/>
    <numFmt numFmtId="214" formatCode="#,##0.0_);\(#,##0.0\);_(* &quot;-&quot;_)"/>
    <numFmt numFmtId="215" formatCode="_(&quot;$&quot;* #,##0.00_);_(&quot;$&quot;* \(#,##0.00\);_(* &quot;-&quot;_);_(@_)"/>
    <numFmt numFmtId="216" formatCode="0.00%_);[Red]\(0.00%\)"/>
    <numFmt numFmtId="217" formatCode="#,##0.0\x_);\(#,##0.0\x\)"/>
    <numFmt numFmtId="218" formatCode="#,##0.00\x_);\(#,##0.00\x\)"/>
    <numFmt numFmtId="219" formatCode="###0&quot;E&quot;_)"/>
    <numFmt numFmtId="220" formatCode="m/d/yyyy;@"/>
    <numFmt numFmtId="221" formatCode="&quot;$&quot;#,##0.0_);\(&quot;$&quot;#,##0.0\)"/>
    <numFmt numFmtId="222" formatCode="0.0%;\ \(0.0%\)"/>
    <numFmt numFmtId="223" formatCode="0.0\x;\ \(0.0\x\)"/>
    <numFmt numFmtId="224" formatCode="0.000%"/>
    <numFmt numFmtId="225" formatCode="#,##0.0_);\(#,##0.0\);@_)"/>
    <numFmt numFmtId="226" formatCode="&quot;$&quot;#,##0.00000_);\(&quot;$&quot;#,##0.00000\)"/>
    <numFmt numFmtId="227" formatCode="#,##0.0_);\(#,##0.0\);\-_);@_)"/>
    <numFmt numFmtId="228" formatCode="0.0%_);\(0.0%\);@_)"/>
    <numFmt numFmtId="229" formatCode="0.0\x_);\(0.0\x\);@_)"/>
    <numFmt numFmtId="230" formatCode="&quot;Comp&quot;\ 0"/>
    <numFmt numFmtId="231" formatCode="#,##0.00_);\(#,##0.00\);@_)"/>
    <numFmt numFmtId="232" formatCode="m/d/yy;@"/>
    <numFmt numFmtId="233" formatCode="&quot;$&quot;#,##0.00_);\(&quot;$&quot;#,##0.00\);@_)"/>
  </numFmts>
  <fonts count="80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GillSans"/>
    </font>
    <font>
      <sz val="8"/>
      <color indexed="49"/>
      <name val="Times New Roman"/>
      <family val="1"/>
    </font>
    <font>
      <sz val="10"/>
      <name val="Arial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8"/>
      <name val="Tms Rmn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7"/>
      <name val="GillSans"/>
    </font>
    <font>
      <sz val="10"/>
      <name val="Geneva"/>
    </font>
    <font>
      <sz val="24"/>
      <name val="Arial"/>
      <family val="2"/>
    </font>
    <font>
      <sz val="8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b/>
      <sz val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i/>
      <sz val="8"/>
      <color indexed="17"/>
      <name val="Times New Roman"/>
      <family val="1"/>
    </font>
    <font>
      <sz val="8"/>
      <color indexed="2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Trebuchet MS"/>
      <family val="2"/>
    </font>
    <font>
      <sz val="10"/>
      <name val="MS Sans Serif"/>
      <family val="2"/>
    </font>
    <font>
      <sz val="11"/>
      <color indexed="62"/>
      <name val="Calibri"/>
      <family val="2"/>
    </font>
    <font>
      <b/>
      <sz val="10"/>
      <color indexed="9"/>
      <name val="Tms Rmn"/>
    </font>
    <font>
      <b/>
      <sz val="10"/>
      <name val="Arial"/>
      <family val="2"/>
    </font>
    <font>
      <sz val="11"/>
      <color indexed="52"/>
      <name val="Calibri"/>
      <family val="2"/>
    </font>
    <font>
      <sz val="8"/>
      <color indexed="18"/>
      <name val="Times New Roman"/>
      <family val="1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Palatino"/>
    </font>
    <font>
      <sz val="12"/>
      <name val="Baskerville MT"/>
    </font>
    <font>
      <u/>
      <sz val="10"/>
      <name val="GillSans"/>
      <family val="2"/>
    </font>
    <font>
      <sz val="10"/>
      <name val="GillSans Light"/>
    </font>
    <font>
      <b/>
      <sz val="12"/>
      <name val="Arial"/>
      <family val="2"/>
    </font>
    <font>
      <b/>
      <sz val="16"/>
      <name val="Arial"/>
      <family val="2"/>
    </font>
    <font>
      <sz val="8"/>
      <name val="MS Sans Serif"/>
      <family val="2"/>
    </font>
    <font>
      <sz val="8.25"/>
      <color indexed="8"/>
      <name val="Arial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9"/>
      <name val="Arial"/>
      <family val="2"/>
    </font>
    <font>
      <sz val="7"/>
      <name val="Times New Roman"/>
      <family val="1"/>
    </font>
    <font>
      <sz val="7"/>
      <color indexed="17"/>
      <name val="Times New Roman"/>
      <family val="1"/>
    </font>
    <font>
      <sz val="7"/>
      <color indexed="18"/>
      <name val="Times New Roman"/>
      <family val="1"/>
    </font>
    <font>
      <b/>
      <sz val="12"/>
      <name val="GillSans"/>
      <family val="2"/>
    </font>
    <font>
      <b/>
      <sz val="18"/>
      <color indexed="56"/>
      <name val="Cambria"/>
      <family val="2"/>
    </font>
    <font>
      <b/>
      <sz val="11"/>
      <name val="GillSans"/>
    </font>
    <font>
      <b/>
      <sz val="8"/>
      <color indexed="18"/>
      <name val="Times New Roman"/>
      <family val="1"/>
    </font>
    <font>
      <i/>
      <sz val="8"/>
      <name val="Times New Roman"/>
      <family val="1"/>
    </font>
    <font>
      <u/>
      <sz val="11"/>
      <name val="GillSans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Gray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8"/>
      </bottom>
      <diagonal/>
    </border>
  </borders>
  <cellStyleXfs count="186">
    <xf numFmtId="0" fontId="0" fillId="0" borderId="0"/>
    <xf numFmtId="0" fontId="3" fillId="0" borderId="0"/>
    <xf numFmtId="164" fontId="3" fillId="0" borderId="0">
      <alignment horizontal="right"/>
    </xf>
    <xf numFmtId="165" fontId="3" fillId="2" borderId="0"/>
    <xf numFmtId="166" fontId="3" fillId="2" borderId="0"/>
    <xf numFmtId="165" fontId="3" fillId="2" borderId="0"/>
    <xf numFmtId="167" fontId="3" fillId="2" borderId="0"/>
    <xf numFmtId="168" fontId="3" fillId="2" borderId="0">
      <alignment horizontal="right"/>
    </xf>
    <xf numFmtId="169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170" fontId="6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6" fillId="0" borderId="0"/>
    <xf numFmtId="0" fontId="9" fillId="4" borderId="0" applyNumberFormat="0" applyBorder="0" applyAlignment="0" applyProtection="0"/>
    <xf numFmtId="171" fontId="10" fillId="0" borderId="0" applyFont="0" applyFill="0" applyBorder="0" applyAlignment="0" applyProtection="0"/>
    <xf numFmtId="38" fontId="10" fillId="0" borderId="0" applyFill="0" applyBorder="0" applyAlignment="0" applyProtection="0">
      <protection locked="0"/>
    </xf>
    <xf numFmtId="0" fontId="11" fillId="0" borderId="0"/>
    <xf numFmtId="37" fontId="12" fillId="0" borderId="0">
      <alignment horizontal="centerContinuous"/>
    </xf>
    <xf numFmtId="0" fontId="13" fillId="21" borderId="3" applyNumberFormat="0" applyAlignment="0" applyProtection="0"/>
    <xf numFmtId="171" fontId="10" fillId="0" borderId="0" applyFont="0" applyFill="0" applyBorder="0" applyAlignment="0" applyProtection="0">
      <protection locked="0"/>
    </xf>
    <xf numFmtId="171" fontId="10" fillId="0" borderId="4" applyFont="0" applyFill="0" applyAlignment="0" applyProtection="0"/>
    <xf numFmtId="0" fontId="14" fillId="22" borderId="5" applyNumberFormat="0" applyAlignment="0" applyProtection="0"/>
    <xf numFmtId="0" fontId="5" fillId="0" borderId="0">
      <alignment horizontal="center" wrapText="1"/>
      <protection hidden="1"/>
    </xf>
    <xf numFmtId="0" fontId="15" fillId="0" borderId="6" applyNumberFormat="0" applyFill="0" applyBorder="0" applyProtection="0">
      <alignment horizontal="left" vertical="center"/>
    </xf>
    <xf numFmtId="0" fontId="15" fillId="0" borderId="6" applyNumberFormat="0" applyFill="0" applyBorder="0" applyProtection="0">
      <alignment horizontal="right" vertical="center"/>
    </xf>
    <xf numFmtId="43" fontId="5" fillId="0" borderId="0" applyFont="0" applyFill="0" applyBorder="0" applyAlignment="0" applyProtection="0"/>
    <xf numFmtId="37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0" fontId="17" fillId="23" borderId="0">
      <alignment horizontal="center" vertical="center" wrapText="1"/>
    </xf>
    <xf numFmtId="172" fontId="5" fillId="0" borderId="0" applyFill="0" applyBorder="0">
      <alignment horizontal="right"/>
      <protection locked="0"/>
    </xf>
    <xf numFmtId="0" fontId="18" fillId="0" borderId="0" applyFont="0" applyFill="0" applyBorder="0" applyAlignment="0"/>
    <xf numFmtId="7" fontId="19" fillId="0" borderId="0" applyFont="0" applyFill="0" applyBorder="0" applyAlignment="0" applyProtection="0"/>
    <xf numFmtId="5" fontId="16" fillId="0" borderId="0" applyFont="0" applyFill="0" applyBorder="0" applyAlignment="0" applyProtection="0"/>
    <xf numFmtId="173" fontId="6" fillId="0" borderId="0" applyFill="0" applyBorder="0" applyProtection="0">
      <alignment horizontal="right"/>
    </xf>
    <xf numFmtId="174" fontId="3" fillId="2" borderId="7">
      <alignment horizontal="right"/>
    </xf>
    <xf numFmtId="175" fontId="3" fillId="2" borderId="7">
      <alignment horizontal="right"/>
    </xf>
    <xf numFmtId="174" fontId="3" fillId="2" borderId="7">
      <alignment horizontal="right"/>
    </xf>
    <xf numFmtId="15" fontId="20" fillId="0" borderId="0" applyFill="0" applyBorder="0" applyAlignment="0"/>
    <xf numFmtId="176" fontId="18" fillId="24" borderId="0" applyFont="0" applyFill="0" applyBorder="0" applyAlignment="0" applyProtection="0"/>
    <xf numFmtId="177" fontId="20" fillId="0" borderId="6"/>
    <xf numFmtId="14" fontId="21" fillId="0" borderId="0" applyFont="0" applyFill="0" applyBorder="0" applyAlignment="0" applyProtection="0">
      <alignment horizontal="center"/>
    </xf>
    <xf numFmtId="178" fontId="21" fillId="0" borderId="0" applyFont="0" applyFill="0" applyBorder="0" applyAlignment="0" applyProtection="0">
      <alignment horizontal="center"/>
    </xf>
    <xf numFmtId="179" fontId="6" fillId="0" borderId="0" applyFont="0" applyFill="0" applyBorder="0" applyAlignment="0" applyProtection="0"/>
    <xf numFmtId="8" fontId="10" fillId="0" borderId="0" applyFont="0" applyFill="0" applyBorder="0" applyAlignment="0" applyProtection="0"/>
    <xf numFmtId="6" fontId="10" fillId="0" borderId="0" applyFont="0" applyFill="0" applyBorder="0" applyAlignment="0" applyProtection="0">
      <alignment horizontal="right"/>
    </xf>
    <xf numFmtId="6" fontId="10" fillId="0" borderId="0" applyFont="0" applyFill="0" applyBorder="0" applyAlignment="0" applyProtection="0"/>
    <xf numFmtId="39" fontId="3" fillId="25" borderId="0"/>
    <xf numFmtId="7" fontId="3" fillId="25" borderId="0" applyBorder="0"/>
    <xf numFmtId="180" fontId="3" fillId="25" borderId="0"/>
    <xf numFmtId="181" fontId="3" fillId="0" borderId="0"/>
    <xf numFmtId="182" fontId="3" fillId="25" borderId="0"/>
    <xf numFmtId="183" fontId="3" fillId="25" borderId="0"/>
    <xf numFmtId="184" fontId="11" fillId="0" borderId="0" applyFont="0" applyFill="0" applyBorder="0" applyProtection="0">
      <alignment horizontal="left"/>
      <protection locked="0"/>
    </xf>
    <xf numFmtId="185" fontId="3" fillId="0" borderId="0"/>
    <xf numFmtId="186" fontId="11" fillId="0" borderId="0" applyFont="0" applyFill="0" applyBorder="0" applyProtection="0">
      <alignment horizontal="left"/>
      <protection locked="0"/>
    </xf>
    <xf numFmtId="187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9" fontId="3" fillId="0" borderId="8"/>
    <xf numFmtId="188" fontId="3" fillId="2" borderId="7">
      <alignment horizontal="right"/>
    </xf>
    <xf numFmtId="189" fontId="3" fillId="2" borderId="7">
      <alignment horizontal="right"/>
    </xf>
    <xf numFmtId="188" fontId="3" fillId="2" borderId="7">
      <alignment horizontal="right"/>
    </xf>
    <xf numFmtId="190" fontId="10" fillId="0" borderId="0" applyFill="0" applyBorder="0" applyAlignment="0" applyProtection="0">
      <protection locked="0"/>
    </xf>
    <xf numFmtId="0" fontId="23" fillId="5" borderId="0" applyNumberFormat="0" applyBorder="0" applyAlignment="0" applyProtection="0"/>
    <xf numFmtId="191" fontId="24" fillId="0" borderId="0" applyFill="0" applyBorder="0" applyAlignment="0" applyProtection="0"/>
    <xf numFmtId="169" fontId="25" fillId="0" borderId="0" applyAlignment="0">
      <alignment horizontal="left"/>
      <protection locked="0"/>
    </xf>
    <xf numFmtId="190" fontId="6" fillId="26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190" fontId="29" fillId="0" borderId="0" applyNumberFormat="0" applyFill="0" applyBorder="0" applyAlignment="0" applyProtection="0"/>
    <xf numFmtId="0" fontId="30" fillId="0" borderId="0"/>
    <xf numFmtId="171" fontId="10" fillId="0" borderId="0" applyFont="0" applyFill="0" applyBorder="0" applyAlignment="0" applyProtection="0"/>
    <xf numFmtId="38" fontId="10" fillId="0" borderId="0" applyFill="0" applyBorder="0" applyAlignment="0" applyProtection="0">
      <alignment horizontal="right"/>
      <protection locked="0"/>
    </xf>
    <xf numFmtId="0" fontId="31" fillId="8" borderId="3" applyNumberFormat="0" applyAlignment="0" applyProtection="0"/>
    <xf numFmtId="0" fontId="18" fillId="24" borderId="0" applyFont="0" applyBorder="0" applyAlignment="0">
      <protection locked="0"/>
    </xf>
    <xf numFmtId="0" fontId="5" fillId="0" borderId="0" applyFill="0" applyBorder="0">
      <alignment horizontal="right"/>
      <protection locked="0"/>
    </xf>
    <xf numFmtId="17" fontId="32" fillId="27" borderId="0"/>
    <xf numFmtId="192" fontId="5" fillId="0" borderId="0" applyFill="0" applyBorder="0">
      <alignment horizontal="right"/>
      <protection locked="0"/>
    </xf>
    <xf numFmtId="0" fontId="33" fillId="28" borderId="13">
      <alignment horizontal="left" vertical="center" wrapText="1"/>
    </xf>
    <xf numFmtId="0" fontId="34" fillId="0" borderId="14" applyNumberFormat="0" applyFill="0" applyAlignment="0" applyProtection="0"/>
    <xf numFmtId="193" fontId="10" fillId="0" borderId="0" applyFont="0" applyFill="0" applyBorder="0" applyAlignment="0" applyProtection="0">
      <alignment horizontal="right"/>
    </xf>
    <xf numFmtId="194" fontId="3" fillId="0" borderId="0">
      <alignment horizontal="right"/>
    </xf>
    <xf numFmtId="195" fontId="3" fillId="25" borderId="0">
      <alignment horizontal="right"/>
    </xf>
    <xf numFmtId="196" fontId="3" fillId="0" borderId="0">
      <alignment horizontal="right"/>
    </xf>
    <xf numFmtId="194" fontId="3" fillId="0" borderId="0">
      <alignment horizontal="right"/>
    </xf>
    <xf numFmtId="169" fontId="35" fillId="0" borderId="0" applyFill="0" applyBorder="0" applyAlignment="0" applyProtection="0">
      <alignment horizontal="right"/>
    </xf>
    <xf numFmtId="169" fontId="35" fillId="0" borderId="0" applyFill="0" applyBorder="0" applyAlignment="0" applyProtection="0"/>
    <xf numFmtId="197" fontId="3" fillId="2" borderId="7">
      <alignment horizontal="right"/>
    </xf>
    <xf numFmtId="198" fontId="10" fillId="0" borderId="0" applyFont="0" applyFill="0" applyBorder="0" applyAlignment="0" applyProtection="0"/>
    <xf numFmtId="0" fontId="16" fillId="2" borderId="0" applyFont="0" applyBorder="0" applyAlignment="0" applyProtection="0">
      <alignment horizontal="right"/>
      <protection hidden="1"/>
    </xf>
    <xf numFmtId="0" fontId="36" fillId="26" borderId="0" applyNumberFormat="0" applyBorder="0" applyAlignment="0" applyProtection="0"/>
    <xf numFmtId="37" fontId="19" fillId="0" borderId="0" applyFont="0" applyFill="0" applyBorder="0" applyAlignment="0" applyProtection="0"/>
    <xf numFmtId="19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7" fillId="29" borderId="15" applyNumberFormat="0" applyFont="0" applyAlignment="0" applyProtection="0"/>
    <xf numFmtId="0" fontId="16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7" fillId="21" borderId="16" applyNumberFormat="0" applyAlignment="0" applyProtection="0"/>
    <xf numFmtId="203" fontId="10" fillId="0" borderId="0" applyFont="0" applyFill="0" applyBorder="0" applyAlignment="0" applyProtection="0">
      <alignment horizontal="right"/>
    </xf>
    <xf numFmtId="0" fontId="38" fillId="0" borderId="0" applyNumberFormat="0" applyFill="0" applyBorder="0" applyAlignment="0" applyProtection="0"/>
    <xf numFmtId="0" fontId="18" fillId="0" borderId="0"/>
    <xf numFmtId="204" fontId="3" fillId="25" borderId="0"/>
    <xf numFmtId="9" fontId="10" fillId="0" borderId="0" applyFont="0" applyFill="0" applyBorder="0" applyAlignment="0" applyProtection="0">
      <alignment horizontal="right"/>
    </xf>
    <xf numFmtId="205" fontId="3" fillId="0" borderId="0"/>
    <xf numFmtId="0" fontId="5" fillId="0" borderId="0" applyFont="0" applyFill="0" applyBorder="0" applyAlignment="0"/>
    <xf numFmtId="16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7" fontId="5" fillId="0" borderId="0" applyFill="0" applyBorder="0">
      <alignment horizontal="right"/>
      <protection locked="0"/>
    </xf>
    <xf numFmtId="191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171" fontId="10" fillId="0" borderId="0" applyFont="0" applyFill="0" applyBorder="0" applyAlignment="0" applyProtection="0">
      <protection locked="0"/>
    </xf>
    <xf numFmtId="190" fontId="10" fillId="0" borderId="0" applyFill="0" applyBorder="0" applyAlignment="0" applyProtection="0"/>
    <xf numFmtId="38" fontId="10" fillId="0" borderId="0" applyFont="0" applyFill="0" applyBorder="0" applyAlignment="0" applyProtection="0"/>
    <xf numFmtId="167" fontId="3" fillId="2" borderId="17">
      <alignment horizontal="right"/>
    </xf>
    <xf numFmtId="208" fontId="39" fillId="2" borderId="0"/>
    <xf numFmtId="209" fontId="3" fillId="2" borderId="0"/>
    <xf numFmtId="0" fontId="40" fillId="0" borderId="0">
      <alignment horizontal="center"/>
    </xf>
    <xf numFmtId="0" fontId="3" fillId="0" borderId="6">
      <alignment horizontal="centerContinuous"/>
    </xf>
    <xf numFmtId="210" fontId="3" fillId="2" borderId="0">
      <alignment horizontal="right"/>
    </xf>
    <xf numFmtId="211" fontId="3" fillId="2" borderId="7">
      <alignment horizontal="right"/>
    </xf>
    <xf numFmtId="212" fontId="5" fillId="0" borderId="0">
      <alignment horizontal="right"/>
      <protection locked="0"/>
    </xf>
    <xf numFmtId="190" fontId="21" fillId="0" borderId="0" applyFont="0" applyFill="0" applyBorder="0" applyAlignment="0" applyProtection="0"/>
    <xf numFmtId="0" fontId="41" fillId="0" borderId="0" applyNumberFormat="0" applyFill="0" applyBorder="0" applyProtection="0">
      <alignment horizontal="right" vertical="center"/>
    </xf>
    <xf numFmtId="0" fontId="42" fillId="23" borderId="9">
      <alignment horizontal="center" vertical="center" wrapText="1"/>
      <protection hidden="1"/>
    </xf>
    <xf numFmtId="171" fontId="10" fillId="0" borderId="0" applyFill="0" applyBorder="0" applyAlignment="0" applyProtection="0">
      <protection locked="0"/>
    </xf>
    <xf numFmtId="213" fontId="21" fillId="0" borderId="0" applyFont="0" applyFill="0" applyBorder="0" applyAlignment="0" applyProtection="0">
      <alignment horizontal="right"/>
    </xf>
    <xf numFmtId="38" fontId="5" fillId="0" borderId="0" applyFont="0" applyFill="0" applyBorder="0" applyAlignment="0" applyProtection="0"/>
    <xf numFmtId="0" fontId="43" fillId="0" borderId="18" applyNumberFormat="0" applyFill="0" applyProtection="0">
      <alignment horizontal="left" vertical="top" wrapText="1"/>
    </xf>
    <xf numFmtId="0" fontId="30" fillId="0" borderId="0" applyNumberFormat="0" applyFill="0" applyBorder="0" applyProtection="0">
      <alignment horizontal="left" vertical="top" wrapText="1"/>
    </xf>
    <xf numFmtId="0" fontId="44" fillId="0" borderId="0" applyNumberFormat="0" applyFill="0" applyProtection="0">
      <alignment horizontal="left" vertical="top" wrapText="1"/>
    </xf>
    <xf numFmtId="0" fontId="45" fillId="0" borderId="0" applyNumberFormat="0" applyFill="0" applyBorder="0" applyProtection="0"/>
    <xf numFmtId="0" fontId="46" fillId="30" borderId="0" applyNumberFormat="0" applyBorder="0" applyProtection="0"/>
    <xf numFmtId="0" fontId="47" fillId="0" borderId="0" applyNumberFormat="0" applyFill="0" applyBorder="0" applyProtection="0">
      <alignment vertical="top"/>
    </xf>
    <xf numFmtId="214" fontId="48" fillId="0" borderId="0" applyFill="0" applyBorder="0" applyProtection="0">
      <alignment horizontal="right" wrapText="1"/>
    </xf>
    <xf numFmtId="215" fontId="48" fillId="0" borderId="0" applyFill="0" applyBorder="0" applyProtection="0">
      <alignment horizontal="right"/>
    </xf>
    <xf numFmtId="4" fontId="18" fillId="0" borderId="0" applyFill="0" applyBorder="0" applyProtection="0">
      <alignment horizontal="right"/>
    </xf>
    <xf numFmtId="183" fontId="49" fillId="0" borderId="0" applyFill="0" applyBorder="0" applyAlignment="0" applyProtection="0"/>
    <xf numFmtId="216" fontId="50" fillId="0" borderId="0" applyFill="0" applyBorder="0" applyAlignment="0" applyProtection="0">
      <alignment horizontal="left"/>
      <protection locked="0"/>
    </xf>
    <xf numFmtId="216" fontId="50" fillId="0" borderId="0" applyFill="0" applyBorder="0" applyAlignment="0" applyProtection="0"/>
    <xf numFmtId="216" fontId="51" fillId="0" borderId="0" applyFill="0" applyBorder="0" applyAlignment="0" applyProtection="0">
      <alignment horizontal="left"/>
      <protection locked="0"/>
    </xf>
    <xf numFmtId="216" fontId="51" fillId="0" borderId="0" applyFill="0" applyBorder="0" applyAlignment="0" applyProtection="0">
      <protection locked="0"/>
    </xf>
    <xf numFmtId="190" fontId="10" fillId="0" borderId="0" applyFill="0" applyBorder="0" applyAlignment="0" applyProtection="0">
      <protection locked="0"/>
    </xf>
    <xf numFmtId="190" fontId="49" fillId="0" borderId="0" applyFill="0" applyBorder="0" applyAlignment="0" applyProtection="0"/>
    <xf numFmtId="49" fontId="52" fillId="0" borderId="0"/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1" borderId="0" applyNumberFormat="0" applyBorder="0" applyProtection="0">
      <alignment horizontal="left" vertical="center"/>
    </xf>
    <xf numFmtId="190" fontId="55" fillId="0" borderId="0" applyNumberFormat="0" applyFill="0" applyBorder="0" applyAlignment="0" applyProtection="0"/>
    <xf numFmtId="0" fontId="5" fillId="0" borderId="0" applyBorder="0"/>
    <xf numFmtId="38" fontId="56" fillId="0" borderId="0" applyFill="0" applyBorder="0" applyAlignment="0" applyProtection="0">
      <alignment horizontal="left"/>
    </xf>
    <xf numFmtId="0" fontId="57" fillId="0" borderId="0"/>
    <xf numFmtId="0" fontId="58" fillId="0" borderId="19" applyNumberFormat="0" applyFill="0" applyAlignment="0" applyProtection="0"/>
    <xf numFmtId="0" fontId="59" fillId="0" borderId="0" applyNumberFormat="0" applyFill="0" applyBorder="0" applyAlignment="0" applyProtection="0"/>
    <xf numFmtId="1" fontId="10" fillId="0" borderId="0" applyFont="0" applyFill="0" applyBorder="0" applyAlignment="0" applyProtection="0"/>
    <xf numFmtId="219" fontId="1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60" fillId="0" borderId="1" xfId="0" applyFont="1" applyBorder="1"/>
    <xf numFmtId="199" fontId="1" fillId="32" borderId="0" xfId="0" applyNumberFormat="1" applyFont="1" applyFill="1"/>
    <xf numFmtId="0" fontId="62" fillId="0" borderId="0" xfId="0" applyFont="1"/>
    <xf numFmtId="7" fontId="1" fillId="32" borderId="0" xfId="0" applyNumberFormat="1" applyFont="1" applyFill="1"/>
    <xf numFmtId="0" fontId="0" fillId="0" borderId="1" xfId="0" applyFill="1" applyBorder="1"/>
    <xf numFmtId="221" fontId="1" fillId="32" borderId="0" xfId="0" applyNumberFormat="1" applyFont="1" applyFill="1"/>
    <xf numFmtId="199" fontId="1" fillId="32" borderId="0" xfId="0" applyNumberFormat="1" applyFont="1" applyFill="1" applyBorder="1"/>
    <xf numFmtId="0" fontId="63" fillId="0" borderId="0" xfId="0" applyFont="1" applyFill="1" applyBorder="1"/>
    <xf numFmtId="0" fontId="61" fillId="0" borderId="0" xfId="0" applyFont="1"/>
    <xf numFmtId="221" fontId="63" fillId="0" borderId="2" xfId="0" applyNumberFormat="1" applyFont="1" applyBorder="1"/>
    <xf numFmtId="221" fontId="1" fillId="32" borderId="0" xfId="0" applyNumberFormat="1" applyFont="1" applyFill="1" applyBorder="1"/>
    <xf numFmtId="0" fontId="0" fillId="0" borderId="0" xfId="0" applyFont="1" applyBorder="1"/>
    <xf numFmtId="0" fontId="63" fillId="0" borderId="0" xfId="0" applyFont="1" applyBorder="1"/>
    <xf numFmtId="0" fontId="0" fillId="0" borderId="0" xfId="0" applyFont="1" applyFill="1" applyBorder="1"/>
    <xf numFmtId="0" fontId="62" fillId="0" borderId="0" xfId="0" applyFont="1" applyFill="1" applyBorder="1"/>
    <xf numFmtId="0" fontId="0" fillId="0" borderId="0" xfId="0" applyFont="1"/>
    <xf numFmtId="220" fontId="0" fillId="0" borderId="0" xfId="0" applyNumberFormat="1" applyFont="1"/>
    <xf numFmtId="0" fontId="1" fillId="32" borderId="0" xfId="0" applyFont="1" applyFill="1" applyAlignment="1">
      <alignment horizontal="right"/>
    </xf>
    <xf numFmtId="0" fontId="0" fillId="0" borderId="21" xfId="0" applyBorder="1" applyAlignment="1">
      <alignment horizontal="right" wrapText="1"/>
    </xf>
    <xf numFmtId="0" fontId="64" fillId="33" borderId="0" xfId="0" applyFont="1" applyFill="1"/>
    <xf numFmtId="0" fontId="66" fillId="0" borderId="0" xfId="0" applyNumberFormat="1" applyFont="1" applyFill="1" applyBorder="1" applyAlignment="1"/>
    <xf numFmtId="0" fontId="66" fillId="0" borderId="21" xfId="0" applyNumberFormat="1" applyFont="1" applyFill="1" applyBorder="1" applyAlignment="1">
      <alignment horizontal="right"/>
    </xf>
    <xf numFmtId="0" fontId="66" fillId="0" borderId="21" xfId="0" applyNumberFormat="1" applyFont="1" applyFill="1" applyBorder="1" applyAlignment="1">
      <alignment horizontal="right" wrapText="1"/>
    </xf>
    <xf numFmtId="199" fontId="63" fillId="0" borderId="2" xfId="0" applyNumberFormat="1" applyFont="1" applyBorder="1"/>
    <xf numFmtId="222" fontId="1" fillId="32" borderId="0" xfId="0" applyNumberFormat="1" applyFont="1" applyFill="1"/>
    <xf numFmtId="225" fontId="0" fillId="0" borderId="0" xfId="0" applyNumberFormat="1" applyFont="1" applyBorder="1"/>
    <xf numFmtId="221" fontId="69" fillId="0" borderId="0" xfId="0" applyNumberFormat="1" applyFont="1"/>
    <xf numFmtId="0" fontId="69" fillId="34" borderId="1" xfId="0" applyNumberFormat="1" applyFont="1" applyFill="1" applyBorder="1" applyAlignment="1">
      <alignment horizontal="right" wrapText="1"/>
    </xf>
    <xf numFmtId="0" fontId="69" fillId="34" borderId="0" xfId="0" applyNumberFormat="1" applyFont="1" applyFill="1" applyBorder="1" applyAlignment="1"/>
    <xf numFmtId="0" fontId="69" fillId="34" borderId="0" xfId="0" applyNumberFormat="1" applyFont="1" applyFill="1" applyBorder="1" applyAlignment="1">
      <alignment horizontal="right"/>
    </xf>
    <xf numFmtId="221" fontId="63" fillId="0" borderId="0" xfId="0" applyNumberFormat="1" applyFont="1" applyBorder="1"/>
    <xf numFmtId="225" fontId="0" fillId="0" borderId="0" xfId="0" applyNumberFormat="1" applyFont="1"/>
    <xf numFmtId="228" fontId="0" fillId="0" borderId="0" xfId="0" applyNumberFormat="1" applyFont="1"/>
    <xf numFmtId="0" fontId="0" fillId="0" borderId="1" xfId="0" applyFont="1" applyBorder="1"/>
    <xf numFmtId="225" fontId="63" fillId="0" borderId="0" xfId="0" applyNumberFormat="1" applyFont="1" applyBorder="1"/>
    <xf numFmtId="225" fontId="71" fillId="0" borderId="0" xfId="0" applyNumberFormat="1" applyFont="1" applyFill="1" applyBorder="1" applyAlignment="1"/>
    <xf numFmtId="0" fontId="0" fillId="0" borderId="1" xfId="0" applyFont="1" applyFill="1" applyBorder="1"/>
    <xf numFmtId="225" fontId="0" fillId="0" borderId="1" xfId="0" applyNumberFormat="1" applyFont="1" applyBorder="1"/>
    <xf numFmtId="0" fontId="63" fillId="35" borderId="1" xfId="0" applyFont="1" applyFill="1" applyBorder="1"/>
    <xf numFmtId="0" fontId="0" fillId="35" borderId="1" xfId="0" applyFont="1" applyFill="1" applyBorder="1"/>
    <xf numFmtId="227" fontId="63" fillId="35" borderId="1" xfId="0" applyNumberFormat="1" applyFont="1" applyFill="1" applyBorder="1" applyAlignment="1">
      <alignment horizontal="right"/>
    </xf>
    <xf numFmtId="199" fontId="1" fillId="32" borderId="1" xfId="0" applyNumberFormat="1" applyFont="1" applyFill="1" applyBorder="1"/>
    <xf numFmtId="199" fontId="1" fillId="0" borderId="0" xfId="0" applyNumberFormat="1" applyFont="1" applyFill="1" applyBorder="1"/>
    <xf numFmtId="199" fontId="68" fillId="0" borderId="0" xfId="0" applyNumberFormat="1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63" fillId="35" borderId="0" xfId="0" applyFont="1" applyFill="1"/>
    <xf numFmtId="223" fontId="0" fillId="0" borderId="0" xfId="0" applyNumberFormat="1" applyFont="1"/>
    <xf numFmtId="0" fontId="72" fillId="31" borderId="20" xfId="0" applyFont="1" applyFill="1" applyBorder="1"/>
    <xf numFmtId="221" fontId="0" fillId="0" borderId="0" xfId="0" applyNumberFormat="1" applyFont="1"/>
    <xf numFmtId="230" fontId="71" fillId="0" borderId="1" xfId="0" applyNumberFormat="1" applyFont="1" applyFill="1" applyBorder="1" applyAlignment="1"/>
    <xf numFmtId="232" fontId="69" fillId="34" borderId="0" xfId="0" applyNumberFormat="1" applyFont="1" applyFill="1" applyBorder="1" applyAlignment="1"/>
    <xf numFmtId="7" fontId="73" fillId="34" borderId="0" xfId="0" applyNumberFormat="1" applyFont="1" applyFill="1" applyBorder="1" applyAlignment="1"/>
    <xf numFmtId="221" fontId="0" fillId="0" borderId="0" xfId="0" applyNumberFormat="1" applyFont="1" applyBorder="1"/>
    <xf numFmtId="0" fontId="0" fillId="0" borderId="2" xfId="0" applyFont="1" applyBorder="1"/>
    <xf numFmtId="226" fontId="0" fillId="0" borderId="0" xfId="0" applyNumberFormat="1" applyFont="1"/>
    <xf numFmtId="213" fontId="0" fillId="0" borderId="0" xfId="0" applyNumberFormat="1" applyFont="1"/>
    <xf numFmtId="200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/>
    </xf>
    <xf numFmtId="0" fontId="0" fillId="35" borderId="0" xfId="0" applyFont="1" applyFill="1"/>
    <xf numFmtId="199" fontId="0" fillId="0" borderId="0" xfId="0" applyNumberFormat="1" applyFont="1"/>
    <xf numFmtId="7" fontId="0" fillId="0" borderId="0" xfId="0" applyNumberFormat="1" applyFont="1"/>
    <xf numFmtId="224" fontId="0" fillId="0" borderId="0" xfId="0" applyNumberFormat="1" applyFont="1"/>
    <xf numFmtId="0" fontId="0" fillId="0" borderId="0" xfId="0" applyFont="1" applyFill="1"/>
    <xf numFmtId="233" fontId="67" fillId="32" borderId="0" xfId="0" applyNumberFormat="1" applyFont="1" applyFill="1" applyBorder="1" applyAlignment="1">
      <alignment horizontal="right"/>
    </xf>
    <xf numFmtId="0" fontId="62" fillId="0" borderId="0" xfId="0" applyFont="1" applyBorder="1"/>
    <xf numFmtId="7" fontId="0" fillId="0" borderId="0" xfId="0" applyNumberFormat="1" applyFont="1" applyFill="1"/>
    <xf numFmtId="0" fontId="74" fillId="0" borderId="0" xfId="0" applyFont="1" applyFill="1" applyBorder="1"/>
    <xf numFmtId="0" fontId="74" fillId="0" borderId="0" xfId="0" applyFont="1"/>
    <xf numFmtId="7" fontId="75" fillId="0" borderId="0" xfId="0" applyNumberFormat="1" applyFont="1" applyFill="1"/>
    <xf numFmtId="0" fontId="76" fillId="0" borderId="0" xfId="0" applyFont="1" applyFill="1" applyBorder="1"/>
    <xf numFmtId="0" fontId="76" fillId="0" borderId="0" xfId="0" applyFont="1"/>
    <xf numFmtId="232" fontId="77" fillId="0" borderId="1" xfId="0" applyNumberFormat="1" applyFont="1" applyBorder="1"/>
    <xf numFmtId="220" fontId="0" fillId="0" borderId="0" xfId="0" applyNumberFormat="1" applyFont="1" applyBorder="1"/>
    <xf numFmtId="232" fontId="78" fillId="0" borderId="22" xfId="0" applyNumberFormat="1" applyFont="1" applyFill="1" applyBorder="1" applyAlignment="1"/>
    <xf numFmtId="225" fontId="1" fillId="32" borderId="0" xfId="0" applyNumberFormat="1" applyFont="1" applyFill="1" applyBorder="1"/>
    <xf numFmtId="225" fontId="1" fillId="32" borderId="0" xfId="0" applyNumberFormat="1" applyFont="1" applyFill="1"/>
    <xf numFmtId="225" fontId="66" fillId="0" borderId="1" xfId="0" applyNumberFormat="1" applyFont="1" applyFill="1" applyBorder="1" applyAlignment="1"/>
    <xf numFmtId="233" fontId="0" fillId="0" borderId="0" xfId="0" applyNumberFormat="1" applyFont="1"/>
    <xf numFmtId="233" fontId="66" fillId="0" borderId="0" xfId="0" applyNumberFormat="1" applyFont="1" applyFill="1" applyBorder="1" applyAlignment="1"/>
    <xf numFmtId="0" fontId="63" fillId="0" borderId="0" xfId="0" applyFont="1"/>
    <xf numFmtId="227" fontId="63" fillId="35" borderId="1" xfId="0" applyNumberFormat="1" applyFont="1" applyFill="1" applyBorder="1" applyAlignment="1">
      <alignment horizontal="left"/>
    </xf>
    <xf numFmtId="223" fontId="0" fillId="0" borderId="0" xfId="0" applyNumberFormat="1" applyFont="1" applyAlignment="1">
      <alignment horizontal="right"/>
    </xf>
    <xf numFmtId="229" fontId="0" fillId="0" borderId="0" xfId="0" applyNumberFormat="1" applyFont="1" applyAlignment="1">
      <alignment horizontal="right"/>
    </xf>
    <xf numFmtId="0" fontId="61" fillId="0" borderId="0" xfId="0" applyFont="1" applyFill="1" applyBorder="1"/>
    <xf numFmtId="0" fontId="70" fillId="0" borderId="21" xfId="0" applyFont="1" applyBorder="1" applyAlignment="1">
      <alignment horizontal="right" wrapText="1"/>
    </xf>
    <xf numFmtId="227" fontId="0" fillId="0" borderId="0" xfId="0" applyNumberFormat="1" applyFont="1" applyFill="1" applyBorder="1" applyAlignment="1">
      <alignment horizontal="left"/>
    </xf>
    <xf numFmtId="231" fontId="0" fillId="0" borderId="0" xfId="0" applyNumberFormat="1" applyFont="1" applyFill="1"/>
    <xf numFmtId="229" fontId="65" fillId="33" borderId="0" xfId="0" applyNumberFormat="1" applyFont="1" applyFill="1" applyAlignment="1">
      <alignment horizontal="right"/>
    </xf>
    <xf numFmtId="0" fontId="65" fillId="33" borderId="0" xfId="0" applyFont="1" applyFill="1"/>
    <xf numFmtId="229" fontId="64" fillId="33" borderId="0" xfId="0" applyNumberFormat="1" applyFont="1" applyFill="1" applyAlignment="1">
      <alignment horizontal="right"/>
    </xf>
    <xf numFmtId="0" fontId="70" fillId="0" borderId="21" xfId="0" applyFont="1" applyFill="1" applyBorder="1" applyAlignment="1">
      <alignment horizontal="right" wrapText="1"/>
    </xf>
    <xf numFmtId="0" fontId="63" fillId="0" borderId="1" xfId="0" applyFont="1" applyFill="1" applyBorder="1" applyAlignment="1">
      <alignment horizontal="centerContinuous"/>
    </xf>
    <xf numFmtId="229" fontId="0" fillId="0" borderId="1" xfId="0" applyNumberFormat="1" applyFont="1" applyFill="1" applyBorder="1" applyAlignment="1">
      <alignment horizontal="centerContinuous"/>
    </xf>
    <xf numFmtId="0" fontId="70" fillId="0" borderId="21" xfId="0" applyFont="1" applyFill="1" applyBorder="1" applyAlignment="1">
      <alignment horizontal="left" wrapText="1"/>
    </xf>
    <xf numFmtId="0" fontId="79" fillId="0" borderId="1" xfId="0" applyFont="1" applyBorder="1"/>
    <xf numFmtId="232" fontId="1" fillId="32" borderId="0" xfId="0" applyNumberFormat="1" applyFont="1" applyFill="1"/>
  </cellXfs>
  <cellStyles count="186">
    <cellStyle name="$" xfId="1"/>
    <cellStyle name="$m" xfId="2"/>
    <cellStyle name="$q" xfId="3"/>
    <cellStyle name="$q*" xfId="4"/>
    <cellStyle name="$q_valuation" xfId="5"/>
    <cellStyle name="$qA" xfId="6"/>
    <cellStyle name="$qRange" xfId="7"/>
    <cellStyle name="%" xfId="8"/>
    <cellStyle name="******************************************" xfId="9"/>
    <cellStyle name="2 Decimal Places_MA Software Comps - List_AccretionDilution OTGS v16.xls Chart 1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FE" xfId="35"/>
    <cellStyle name="Bad 2" xfId="36"/>
    <cellStyle name="Balance" xfId="37"/>
    <cellStyle name="BalanceSheet" xfId="38"/>
    <cellStyle name="Body_$Numeric" xfId="39"/>
    <cellStyle name="Bold Header" xfId="40"/>
    <cellStyle name="Calculation 2" xfId="41"/>
    <cellStyle name="CashFlow" xfId="42"/>
    <cellStyle name="Check" xfId="43"/>
    <cellStyle name="Check Cell 2" xfId="44"/>
    <cellStyle name="ColHeading" xfId="45"/>
    <cellStyle name="colheadleft" xfId="46"/>
    <cellStyle name="colheadright" xfId="47"/>
    <cellStyle name="Comma 2" xfId="48"/>
    <cellStyle name="Comma0" xfId="49"/>
    <cellStyle name="Comma2" xfId="50"/>
    <cellStyle name="Company" xfId="51"/>
    <cellStyle name="CurRatio" xfId="52"/>
    <cellStyle name="Currency [1]" xfId="53"/>
    <cellStyle name="Currency [2]" xfId="54"/>
    <cellStyle name="Currency0" xfId="55"/>
    <cellStyle name="Currency2" xfId="56"/>
    <cellStyle name="d_yield" xfId="57"/>
    <cellStyle name="d_yield_CW's MAKER MODEL" xfId="58"/>
    <cellStyle name="d_yield_valuation" xfId="59"/>
    <cellStyle name="Date [d-mmm-yy]" xfId="60"/>
    <cellStyle name="Date [mmm-d-yyyy]" xfId="61"/>
    <cellStyle name="Date [mmm-yyyy]" xfId="62"/>
    <cellStyle name="Dates" xfId="63"/>
    <cellStyle name="DateYear" xfId="64"/>
    <cellStyle name="Dezimal_Capital expenditure planning FY 2000" xfId="65"/>
    <cellStyle name="Dollar" xfId="66"/>
    <cellStyle name="Dollars" xfId="67"/>
    <cellStyle name="DollarWhole" xfId="68"/>
    <cellStyle name="eps" xfId="69"/>
    <cellStyle name="eps$" xfId="70"/>
    <cellStyle name="eps$A" xfId="71"/>
    <cellStyle name="eps$E" xfId="72"/>
    <cellStyle name="eps_CW's MAKER MODEL" xfId="73"/>
    <cellStyle name="epsA" xfId="74"/>
    <cellStyle name="EPSActual" xfId="75"/>
    <cellStyle name="epsE" xfId="76"/>
    <cellStyle name="EPSEstimate" xfId="77"/>
    <cellStyle name="Euro" xfId="78"/>
    <cellStyle name="Explanatory Text 2" xfId="79"/>
    <cellStyle name="fy_eps$" xfId="80"/>
    <cellStyle name="g_rate" xfId="81"/>
    <cellStyle name="g_rate_CW's MAKER MODEL" xfId="82"/>
    <cellStyle name="g_rate_valuation" xfId="83"/>
    <cellStyle name="General" xfId="84"/>
    <cellStyle name="Good 2" xfId="85"/>
    <cellStyle name="GrowthRate" xfId="86"/>
    <cellStyle name="GrowthSeq" xfId="87"/>
    <cellStyle name="Hard Number Input" xfId="88"/>
    <cellStyle name="Heading 1 2" xfId="89"/>
    <cellStyle name="Heading 2 2" xfId="90"/>
    <cellStyle name="Heading 3 2" xfId="91"/>
    <cellStyle name="Heading 4 2" xfId="92"/>
    <cellStyle name="Historical Number" xfId="93"/>
    <cellStyle name="iemens" xfId="94"/>
    <cellStyle name="Income" xfId="95"/>
    <cellStyle name="IncomeStatement" xfId="96"/>
    <cellStyle name="Input 2" xfId="97"/>
    <cellStyle name="Input Fixed [0]" xfId="98"/>
    <cellStyle name="Integer" xfId="99"/>
    <cellStyle name="Inverse Header" xfId="100"/>
    <cellStyle name="Item" xfId="101"/>
    <cellStyle name="ItemTypeClass" xfId="102"/>
    <cellStyle name="Linked Cell 2" xfId="103"/>
    <cellStyle name="LTGR" xfId="104"/>
    <cellStyle name="m" xfId="105"/>
    <cellStyle name="m$" xfId="106"/>
    <cellStyle name="m_CW's MAKER MODEL" xfId="107"/>
    <cellStyle name="m_valuation" xfId="108"/>
    <cellStyle name="Margin" xfId="109"/>
    <cellStyle name="Margins" xfId="110"/>
    <cellStyle name="mm" xfId="111"/>
    <cellStyle name="Multiple" xfId="112"/>
    <cellStyle name="NA is zero" xfId="113"/>
    <cellStyle name="Neutral 2" xfId="114"/>
    <cellStyle name="Normal" xfId="0" builtinId="0"/>
    <cellStyle name="Normal [0]" xfId="115"/>
    <cellStyle name="Normal [1]" xfId="116"/>
    <cellStyle name="Normal [2]" xfId="117"/>
    <cellStyle name="Normal [3]" xfId="118"/>
    <cellStyle name="Normal 2" xfId="119"/>
    <cellStyle name="Normal Bold" xfId="120"/>
    <cellStyle name="Normal Pct" xfId="121"/>
    <cellStyle name="NormalX" xfId="122"/>
    <cellStyle name="Note 2" xfId="123"/>
    <cellStyle name="NPPESalesPct" xfId="124"/>
    <cellStyle name="Number" xfId="125"/>
    <cellStyle name="NWI%S" xfId="126"/>
    <cellStyle name="Output 2" xfId="127"/>
    <cellStyle name="P/E" xfId="128"/>
    <cellStyle name="Palatino" xfId="129"/>
    <cellStyle name="pc1" xfId="130"/>
    <cellStyle name="pe" xfId="131"/>
    <cellStyle name="PE/LTGR" xfId="132"/>
    <cellStyle name="PEG" xfId="133"/>
    <cellStyle name="Percent [0]" xfId="134"/>
    <cellStyle name="Percent [1]" xfId="135"/>
    <cellStyle name="Percent [2]" xfId="136"/>
    <cellStyle name="PercentChange" xfId="137"/>
    <cellStyle name="PercentPresentation" xfId="138"/>
    <cellStyle name="PerShare" xfId="139"/>
    <cellStyle name="POPS" xfId="140"/>
    <cellStyle name="Presentation" xfId="141"/>
    <cellStyle name="PresentationZero" xfId="142"/>
    <cellStyle name="price" xfId="143"/>
    <cellStyle name="q" xfId="144"/>
    <cellStyle name="q_CW's MAKER MODEL" xfId="145"/>
    <cellStyle name="QEPS-h" xfId="146"/>
    <cellStyle name="QEPS-H1" xfId="147"/>
    <cellStyle name="qRange" xfId="148"/>
    <cellStyle name="range" xfId="149"/>
    <cellStyle name="RatioX" xfId="150"/>
    <cellStyle name="Report" xfId="151"/>
    <cellStyle name="Right" xfId="152"/>
    <cellStyle name="SectionHeading" xfId="153"/>
    <cellStyle name="Shares" xfId="154"/>
    <cellStyle name="StockPrice" xfId="155"/>
    <cellStyle name="Style 1" xfId="156"/>
    <cellStyle name="Style 21" xfId="157"/>
    <cellStyle name="Style 22" xfId="158"/>
    <cellStyle name="Style 23" xfId="159"/>
    <cellStyle name="Style 24" xfId="160"/>
    <cellStyle name="Style 26" xfId="161"/>
    <cellStyle name="Style 27" xfId="162"/>
    <cellStyle name="Style 34" xfId="163"/>
    <cellStyle name="Style 37" xfId="164"/>
    <cellStyle name="Style 63" xfId="165"/>
    <cellStyle name="SubDollar" xfId="166"/>
    <cellStyle name="SubGrowth" xfId="167"/>
    <cellStyle name="SubGrowthRate" xfId="168"/>
    <cellStyle name="SubMargins" xfId="169"/>
    <cellStyle name="SubPenetration" xfId="170"/>
    <cellStyle name="Subscribers" xfId="171"/>
    <cellStyle name="SubVariable" xfId="172"/>
    <cellStyle name="tcn" xfId="173"/>
    <cellStyle name="Times [1]" xfId="174"/>
    <cellStyle name="Times [2]" xfId="175"/>
    <cellStyle name="Title 2" xfId="176"/>
    <cellStyle name="title2" xfId="177"/>
    <cellStyle name="TitleII" xfId="178"/>
    <cellStyle name="Titles" xfId="179"/>
    <cellStyle name="TitleSub" xfId="180"/>
    <cellStyle name="tn" xfId="181"/>
    <cellStyle name="Total 2" xfId="182"/>
    <cellStyle name="Warning Text 2" xfId="183"/>
    <cellStyle name="WholeNumber" xfId="184"/>
    <cellStyle name="Year&quot;E&quot;" xfId="185"/>
  </cellStyles>
  <dxfs count="0"/>
  <tableStyles count="0" defaultTableStyle="TableStyleMedium2" defaultPivotStyle="PivotStyleLight16"/>
  <colors>
    <mruColors>
      <color rgb="FF008000"/>
      <color rgb="FF00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wner/LOCALS~1/Temp/Rar$DI00.921/Valuation_2010_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umar.WSP/Downloads/DataSet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Data"/>
      <sheetName val="Forecast Drivers"/>
      <sheetName val="Results"/>
      <sheetName val="Valuation Summary"/>
    </sheetNames>
    <sheetDataSet>
      <sheetData sheetId="0" refreshError="1"/>
      <sheetData sheetId="1"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330">
          <cell r="D330">
            <v>1</v>
          </cell>
        </row>
      </sheetData>
      <sheetData sheetId="2">
        <row r="142">
          <cell r="F142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_ans"/>
      <sheetName val="Circ"/>
      <sheetName val="Reg 0"/>
      <sheetName val="Reg_ans"/>
      <sheetName val="CF"/>
      <sheetName val="CF_ans"/>
      <sheetName val="BoostToolkitClipBoard2010"/>
      <sheetName val="DS0"/>
      <sheetName val="DS0_ans"/>
      <sheetName val="Data Set1"/>
      <sheetName val="DataSet2"/>
      <sheetName val="DataSet3"/>
      <sheetName val="Other"/>
      <sheetName val="DataSet4"/>
      <sheetName val="Array0"/>
      <sheetName val="Array1"/>
      <sheetName val="Array2"/>
      <sheetName val="Array3"/>
      <sheetName val="Array4"/>
      <sheetName val="Array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iPad</v>
          </cell>
          <cell r="C5">
            <v>500</v>
          </cell>
        </row>
        <row r="6">
          <cell r="B6" t="str">
            <v>iPod</v>
          </cell>
          <cell r="C6">
            <v>200</v>
          </cell>
        </row>
        <row r="7">
          <cell r="B7" t="str">
            <v>iPhone</v>
          </cell>
          <cell r="C7">
            <v>400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/>
  <sheetData>
    <row r="1" spans="1:1">
      <c r="A1">
        <v>-12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B1" workbookViewId="0">
      <selection activeCell="T22" sqref="T22"/>
    </sheetView>
  </sheetViews>
  <sheetFormatPr defaultRowHeight="15"/>
  <cols>
    <col min="1" max="1" width="22.7109375" bestFit="1" customWidth="1"/>
    <col min="10" max="10" width="1.85546875" customWidth="1"/>
    <col min="15" max="15" width="1.85546875" customWidth="1"/>
  </cols>
  <sheetData>
    <row r="1" spans="1:20" ht="23.25">
      <c r="A1" s="4" t="s">
        <v>44</v>
      </c>
      <c r="B1" s="2"/>
      <c r="C1" s="2"/>
      <c r="D1" s="3"/>
      <c r="E1" s="3"/>
      <c r="F1" s="3"/>
      <c r="G1" s="3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3" spans="1:20">
      <c r="B3" s="88"/>
      <c r="C3" s="88"/>
      <c r="F3" s="97" t="s">
        <v>45</v>
      </c>
      <c r="G3" s="98"/>
      <c r="H3" s="98"/>
      <c r="I3" s="98"/>
      <c r="J3" s="68"/>
      <c r="K3" s="97" t="s">
        <v>119</v>
      </c>
      <c r="L3" s="98"/>
      <c r="M3" s="98"/>
      <c r="N3" s="98"/>
      <c r="O3" s="68"/>
      <c r="P3" s="97" t="s">
        <v>120</v>
      </c>
      <c r="Q3" s="98"/>
      <c r="R3" s="98"/>
      <c r="S3" s="98"/>
    </row>
    <row r="4" spans="1:20" ht="39.75" thickBot="1">
      <c r="A4" s="99" t="s">
        <v>121</v>
      </c>
      <c r="B4" s="99" t="s">
        <v>2</v>
      </c>
      <c r="C4" s="96" t="s">
        <v>108</v>
      </c>
      <c r="D4" s="96" t="s">
        <v>105</v>
      </c>
      <c r="E4" s="96"/>
      <c r="F4" s="96" t="s">
        <v>112</v>
      </c>
      <c r="G4" s="96" t="s">
        <v>20</v>
      </c>
      <c r="H4" s="96" t="s">
        <v>15</v>
      </c>
      <c r="I4" s="96" t="s">
        <v>25</v>
      </c>
      <c r="J4" s="90"/>
      <c r="K4" s="96" t="s">
        <v>112</v>
      </c>
      <c r="L4" s="96" t="s">
        <v>20</v>
      </c>
      <c r="M4" s="96" t="s">
        <v>15</v>
      </c>
      <c r="N4" s="96" t="s">
        <v>25</v>
      </c>
      <c r="O4" s="90"/>
      <c r="P4" s="96" t="s">
        <v>112</v>
      </c>
      <c r="Q4" s="96" t="s">
        <v>20</v>
      </c>
      <c r="R4" s="96" t="s">
        <v>15</v>
      </c>
      <c r="S4" s="96" t="s">
        <v>25</v>
      </c>
      <c r="T4" s="96" t="s">
        <v>117</v>
      </c>
    </row>
    <row r="5" spans="1:20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7"/>
    </row>
    <row r="6" spans="1:20">
      <c r="A6" s="91" t="str">
        <f>SimpleInput!C6</f>
        <v>Extreme Networks, Inc.</v>
      </c>
      <c r="B6" s="91" t="str">
        <f>SimpleInput!C$7</f>
        <v>EXTR</v>
      </c>
      <c r="C6" s="29">
        <f>SimpleInput!C19*SimpleInput!C10</f>
        <v>332.22134649999998</v>
      </c>
      <c r="D6" s="29">
        <f>SimpleInput!C136+SimpleInput!C128</f>
        <v>256.54934649999996</v>
      </c>
      <c r="E6" s="29"/>
      <c r="F6" s="29">
        <f>SimpleInput!C24+SimpleInput!C43-SimpleInput!C62</f>
        <v>324.83499999999992</v>
      </c>
      <c r="G6" s="65">
        <f>SimpleInput!C40+SimpleInput!C59-SimpleInput!C78</f>
        <v>12.459999999999994</v>
      </c>
      <c r="H6" s="65">
        <f>SimpleInput!C29+SimpleInput!C48-SimpleInput!C67</f>
        <v>6.7739999999999938</v>
      </c>
      <c r="I6" s="92">
        <f>SimpleInput!C36+SimpleInput!C55-SimpleInput!C74</f>
        <v>6.484193818745676E-2</v>
      </c>
      <c r="J6" s="19"/>
      <c r="K6" s="35">
        <f>SimpleInput!C99</f>
        <v>320.63</v>
      </c>
      <c r="L6" s="35">
        <f>SimpleInput!C100</f>
        <v>28.466000000000001</v>
      </c>
      <c r="M6" s="35">
        <f>SimpleInput!C101</f>
        <v>22.846</v>
      </c>
      <c r="N6" s="92">
        <f>SimpleInput!C102</f>
        <v>0.23</v>
      </c>
      <c r="O6" s="19"/>
      <c r="P6" s="35">
        <f>SimpleInput!C108</f>
        <v>337.50799999999998</v>
      </c>
      <c r="Q6" s="35">
        <f>SimpleInput!C109</f>
        <v>37.72</v>
      </c>
      <c r="R6" s="35">
        <f>SimpleInput!C110</f>
        <v>30.382000000000001</v>
      </c>
      <c r="S6" s="92">
        <f>SimpleInput!C111</f>
        <v>0.3</v>
      </c>
      <c r="T6" s="36">
        <f>SimpleInput!C116</f>
        <v>0.14000000000000001</v>
      </c>
    </row>
    <row r="7" spans="1:20">
      <c r="A7" s="91" t="str">
        <f>SimpleInput!D6</f>
        <v>Brocade Communi.</v>
      </c>
      <c r="B7" s="91" t="str">
        <f>SimpleInput!D$7</f>
        <v>BRCD</v>
      </c>
      <c r="C7" s="29">
        <f>SimpleInput!D19*SimpleInput!D10</f>
        <v>2200.8229600499999</v>
      </c>
      <c r="D7" s="29">
        <f>SimpleInput!D136+SimpleInput!D128</f>
        <v>2328.3789600499999</v>
      </c>
      <c r="E7" s="29"/>
      <c r="F7" s="29">
        <f>SimpleInput!D24+SimpleInput!D43-SimpleInput!D62</f>
        <v>2157.4030000000002</v>
      </c>
      <c r="G7" s="65">
        <f>SimpleInput!D40+SimpleInput!D59-SimpleInput!D78</f>
        <v>409.75</v>
      </c>
      <c r="H7" s="65">
        <f>SimpleInput!D29+SimpleInput!D48-SimpleInput!D67</f>
        <v>210.10700000000003</v>
      </c>
      <c r="I7" s="92">
        <f>SimpleInput!D36+SimpleInput!D55-SimpleInput!D74</f>
        <v>0.20207387362833992</v>
      </c>
      <c r="J7" s="19"/>
      <c r="K7" s="35">
        <f>SimpleInput!D99</f>
        <v>2211</v>
      </c>
      <c r="L7" s="35">
        <f>SimpleInput!D100</f>
        <v>607.1</v>
      </c>
      <c r="M7" s="35">
        <f>SimpleInput!D101</f>
        <v>413</v>
      </c>
      <c r="N7" s="92">
        <f>SimpleInput!D102</f>
        <v>0.6</v>
      </c>
      <c r="O7" s="19"/>
      <c r="P7" s="35">
        <f>SimpleInput!D108</f>
        <v>2288</v>
      </c>
      <c r="Q7" s="35">
        <f>SimpleInput!D109</f>
        <v>611.6</v>
      </c>
      <c r="R7" s="35">
        <f>SimpleInput!D110</f>
        <v>412</v>
      </c>
      <c r="S7" s="92">
        <f>SimpleInput!D111</f>
        <v>0.55000000000000004</v>
      </c>
      <c r="T7" s="36">
        <f>SimpleInput!D116</f>
        <v>0.08</v>
      </c>
    </row>
    <row r="8" spans="1:20">
      <c r="A8" s="91" t="str">
        <f>SimpleInput!E6</f>
        <v>Juniper Networks</v>
      </c>
      <c r="B8" s="91" t="str">
        <f>SimpleInput!E$7</f>
        <v>JNPR</v>
      </c>
      <c r="C8" s="29">
        <f>SimpleInput!E19*SimpleInput!E10</f>
        <v>8329.6848399999999</v>
      </c>
      <c r="D8" s="29">
        <f>SimpleInput!E136+SimpleInput!E128</f>
        <v>5898.7338400000008</v>
      </c>
      <c r="E8" s="29"/>
      <c r="F8" s="29">
        <f>SimpleInput!E24+SimpleInput!E43-SimpleInput!E62</f>
        <v>4379.5950000000003</v>
      </c>
      <c r="G8" s="65">
        <f>SimpleInput!E40+SimpleInput!E59-SimpleInput!E78</f>
        <v>661.51600000000008</v>
      </c>
      <c r="H8" s="65">
        <f>SimpleInput!E29+SimpleInput!E48-SimpleInput!E67</f>
        <v>488.84000000000003</v>
      </c>
      <c r="I8" s="92">
        <f>SimpleInput!E36+SimpleInput!E55-SimpleInput!E74</f>
        <v>0.57930831736607535</v>
      </c>
      <c r="J8" s="19"/>
      <c r="K8" s="35">
        <f>SimpleInput!E99</f>
        <v>4409.7</v>
      </c>
      <c r="L8" s="35">
        <f>SimpleInput!E100</f>
        <v>861.8</v>
      </c>
      <c r="M8" s="35">
        <f>SimpleInput!E101</f>
        <v>687.8</v>
      </c>
      <c r="N8" s="92">
        <f>SimpleInput!E102</f>
        <v>0.87</v>
      </c>
      <c r="O8" s="19"/>
      <c r="P8" s="35">
        <f>SimpleInput!E108</f>
        <v>4899.3</v>
      </c>
      <c r="Q8" s="35">
        <f>SimpleInput!E109</f>
        <v>1129</v>
      </c>
      <c r="R8" s="35">
        <f>SimpleInput!E110</f>
        <v>955</v>
      </c>
      <c r="S8" s="92">
        <f>SimpleInput!E111</f>
        <v>1.21</v>
      </c>
      <c r="T8" s="36">
        <f>SimpleInput!E116</f>
        <v>0.15</v>
      </c>
    </row>
    <row r="9" spans="1:20">
      <c r="A9" s="91" t="str">
        <f>SimpleInput!F6</f>
        <v>Netgear</v>
      </c>
      <c r="B9" s="91" t="str">
        <f>SimpleInput!F$7</f>
        <v>NTGR</v>
      </c>
      <c r="C9" s="29">
        <f>SimpleInput!F19*SimpleInput!F10</f>
        <v>1276.6608942099999</v>
      </c>
      <c r="D9" s="29">
        <f>SimpleInput!F136+SimpleInput!F128</f>
        <v>907.24089420999985</v>
      </c>
      <c r="E9" s="29"/>
      <c r="F9" s="29">
        <f>SimpleInput!F24+SimpleInput!F43-SimpleInput!F62</f>
        <v>1227.8150000000001</v>
      </c>
      <c r="G9" s="65">
        <f>SimpleInput!F40+SimpleInput!F59-SimpleInput!F78</f>
        <v>145.16800000000006</v>
      </c>
      <c r="H9" s="65">
        <f>SimpleInput!F29+SimpleInput!F48-SimpleInput!F67</f>
        <v>130.53100000000006</v>
      </c>
      <c r="I9" s="92">
        <f>SimpleInput!F36+SimpleInput!F55-SimpleInput!F74</f>
        <v>2.4931522456312956</v>
      </c>
      <c r="J9" s="19"/>
      <c r="K9" s="35">
        <f>SimpleInput!F99</f>
        <v>1362.35</v>
      </c>
      <c r="L9" s="35">
        <f>SimpleInput!F100</f>
        <v>167.94</v>
      </c>
      <c r="M9" s="35">
        <f>SimpleInput!F101</f>
        <v>164.12899999999999</v>
      </c>
      <c r="N9" s="92">
        <f>SimpleInput!F102</f>
        <v>2.89</v>
      </c>
      <c r="O9" s="19"/>
      <c r="P9" s="35">
        <f>SimpleInput!F108</f>
        <v>1557.18</v>
      </c>
      <c r="Q9" s="35">
        <f>SimpleInput!F109</f>
        <v>190.19</v>
      </c>
      <c r="R9" s="35">
        <f>SimpleInput!F110</f>
        <v>180.78200000000001</v>
      </c>
      <c r="S9" s="92">
        <f>SimpleInput!F111</f>
        <v>3.1</v>
      </c>
      <c r="T9" s="36">
        <f>SimpleInput!F116</f>
        <v>0.2</v>
      </c>
    </row>
    <row r="10" spans="1:20">
      <c r="A10" s="91"/>
      <c r="B10" s="91"/>
      <c r="C10" s="20"/>
      <c r="F10" s="29"/>
      <c r="G10" s="65"/>
      <c r="H10" s="65"/>
      <c r="I10" s="92"/>
      <c r="J10" s="19"/>
      <c r="K10" s="35"/>
      <c r="L10" s="35"/>
      <c r="M10" s="35"/>
      <c r="N10" s="92"/>
      <c r="O10" s="19"/>
      <c r="P10" s="35"/>
      <c r="Q10" s="35"/>
      <c r="R10" s="35"/>
      <c r="S10" s="92"/>
      <c r="T10" s="36"/>
    </row>
    <row r="11" spans="1:20">
      <c r="A11" s="19"/>
      <c r="B11" s="19"/>
      <c r="C11" s="19"/>
      <c r="F11" s="97" t="s">
        <v>45</v>
      </c>
      <c r="G11" s="98"/>
      <c r="H11" s="98"/>
      <c r="I11" s="98"/>
      <c r="J11" s="68"/>
      <c r="K11" s="97" t="s">
        <v>119</v>
      </c>
      <c r="L11" s="98"/>
      <c r="M11" s="98"/>
      <c r="N11" s="98"/>
      <c r="O11" s="68"/>
      <c r="P11" s="97" t="s">
        <v>120</v>
      </c>
      <c r="Q11" s="98"/>
      <c r="R11" s="98"/>
      <c r="S11" s="98"/>
    </row>
    <row r="12" spans="1:20" ht="27" thickBot="1">
      <c r="A12" s="99" t="s">
        <v>121</v>
      </c>
      <c r="B12" s="99" t="s">
        <v>2</v>
      </c>
      <c r="C12" s="25"/>
      <c r="D12" s="26"/>
      <c r="E12" s="22"/>
      <c r="F12" s="96" t="s">
        <v>113</v>
      </c>
      <c r="G12" s="96" t="s">
        <v>114</v>
      </c>
      <c r="H12" s="96" t="s">
        <v>115</v>
      </c>
      <c r="I12" s="96" t="s">
        <v>116</v>
      </c>
      <c r="J12" s="90"/>
      <c r="K12" s="96" t="s">
        <v>113</v>
      </c>
      <c r="L12" s="96" t="s">
        <v>114</v>
      </c>
      <c r="M12" s="96" t="s">
        <v>115</v>
      </c>
      <c r="N12" s="96" t="s">
        <v>53</v>
      </c>
      <c r="O12" s="90"/>
      <c r="P12" s="96" t="s">
        <v>113</v>
      </c>
      <c r="Q12" s="96" t="s">
        <v>114</v>
      </c>
      <c r="R12" s="96" t="s">
        <v>115</v>
      </c>
      <c r="S12" s="96" t="s">
        <v>116</v>
      </c>
      <c r="T12" s="96" t="s">
        <v>118</v>
      </c>
    </row>
    <row r="13" spans="1:20">
      <c r="A13" s="15"/>
      <c r="B13" s="15"/>
      <c r="C13" s="15"/>
      <c r="D13" s="1"/>
      <c r="E13" s="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91" t="str">
        <f>SimpleInput!C6</f>
        <v>Extreme Networks, Inc.</v>
      </c>
      <c r="B14" s="91" t="str">
        <f>SimpleInput!C$7</f>
        <v>EXTR</v>
      </c>
      <c r="C14" s="19"/>
      <c r="F14" s="87">
        <f>SimpleInput!C139/SimpleInput!C83</f>
        <v>0.78978357165945789</v>
      </c>
      <c r="G14" s="87">
        <f>SimpleInput!C139/SimpleInput!C84</f>
        <v>20.589835192616381</v>
      </c>
      <c r="H14" s="87">
        <f>SimpleInput!C139/SimpleInput!C85</f>
        <v>37.872652273398316</v>
      </c>
      <c r="I14" s="87">
        <f>SimpleInput!C10/SimpleInput!C86</f>
        <v>53.977411808412775</v>
      </c>
      <c r="J14" s="19"/>
      <c r="K14" s="88">
        <f>SimpleInput!C$139/SimpleInput!C99</f>
        <v>0.80014142937342092</v>
      </c>
      <c r="L14" s="88">
        <f>SimpleInput!C$139/SimpleInput!C100</f>
        <v>9.0124831904728424</v>
      </c>
      <c r="M14" s="88">
        <f>SimpleInput!C$139/SimpleInput!C101</f>
        <v>11.22950829466865</v>
      </c>
      <c r="N14" s="88">
        <f>SimpleInput!C134/SimpleInput!C102</f>
        <v>15.217391304347826</v>
      </c>
      <c r="O14" s="19"/>
      <c r="P14" s="88">
        <f>SimpleInput!C$139/SimpleInput!C108</f>
        <v>0.7601281939983644</v>
      </c>
      <c r="Q14" s="88">
        <f>SimpleInput!C$139/SimpleInput!C109</f>
        <v>6.8014142762460228</v>
      </c>
      <c r="R14" s="88">
        <f>SimpleInput!C$139/SimpleInput!C110</f>
        <v>8.444123049832136</v>
      </c>
      <c r="S14" s="88">
        <f>SimpleInput!C134/SimpleInput!C111</f>
        <v>11.666666666666668</v>
      </c>
      <c r="T14" s="88">
        <f>SimpleInput!C152/(SimpleInput!C116*100)</f>
        <v>1.0869565217391304</v>
      </c>
    </row>
    <row r="15" spans="1:20">
      <c r="A15" s="91" t="str">
        <f>SimpleInput!D6</f>
        <v>Brocade Communi.</v>
      </c>
      <c r="B15" s="91" t="str">
        <f>SimpleInput!D$7</f>
        <v>BRCD</v>
      </c>
      <c r="C15" s="19"/>
      <c r="F15" s="87">
        <f>SimpleInput!D139/SimpleInput!D83</f>
        <v>1.0792508214969572</v>
      </c>
      <c r="G15" s="87">
        <f>SimpleInput!D139/SimpleInput!D84</f>
        <v>5.6824379744966445</v>
      </c>
      <c r="H15" s="87">
        <f>SimpleInput!D139/SimpleInput!D85</f>
        <v>11.081872379549466</v>
      </c>
      <c r="I15" s="87">
        <f>SimpleInput!D10/SimpleInput!D86</f>
        <v>24.199070924892688</v>
      </c>
      <c r="J15" s="19"/>
      <c r="K15" s="88">
        <f>SimpleInput!D$139/SimpleInput!D99</f>
        <v>1.0530886296019901</v>
      </c>
      <c r="L15" s="88">
        <f>SimpleInput!D$139/SimpleInput!D100</f>
        <v>3.835247834047109</v>
      </c>
      <c r="M15" s="88">
        <f>SimpleInput!D$139/SimpleInput!D101</f>
        <v>5.637721452905569</v>
      </c>
      <c r="N15" s="88">
        <f>SimpleInput!D134/SimpleInput!D102</f>
        <v>8.15</v>
      </c>
      <c r="O15" s="19"/>
      <c r="P15" s="88">
        <f>SimpleInput!D$139/SimpleInput!D108</f>
        <v>1.017648146875</v>
      </c>
      <c r="Q15" s="88">
        <f>SimpleInput!D$139/SimpleInput!D109</f>
        <v>3.8070290386690644</v>
      </c>
      <c r="R15" s="88">
        <f>SimpleInput!D$139/SimpleInput!D110</f>
        <v>5.6514052428398056</v>
      </c>
      <c r="S15" s="88">
        <f>SimpleInput!D134/SimpleInput!D111</f>
        <v>8.8909090909090889</v>
      </c>
      <c r="T15" s="88">
        <f>SimpleInput!D152/(SimpleInput!D116*100)</f>
        <v>1.01875</v>
      </c>
    </row>
    <row r="16" spans="1:20">
      <c r="A16" s="91" t="str">
        <f>SimpleInput!E6</f>
        <v>Juniper Networks</v>
      </c>
      <c r="B16" s="91" t="str">
        <f>SimpleInput!E$7</f>
        <v>JNPR</v>
      </c>
      <c r="C16" s="19"/>
      <c r="F16" s="87">
        <f>SimpleInput!E139/SimpleInput!E83</f>
        <v>1.3468674249559607</v>
      </c>
      <c r="G16" s="87">
        <f>SimpleInput!E139/SimpleInput!E84</f>
        <v>8.9169934514055598</v>
      </c>
      <c r="H16" s="87">
        <f>SimpleInput!E139/SimpleInput!E85</f>
        <v>12.066798625317078</v>
      </c>
      <c r="I16" s="87">
        <f>SimpleInput!E10/SimpleInput!E86</f>
        <v>26.89414174275478</v>
      </c>
      <c r="J16" s="19"/>
      <c r="K16" s="88">
        <f>SimpleInput!E$139/SimpleInput!E99</f>
        <v>1.3376723677347668</v>
      </c>
      <c r="L16" s="88">
        <f>SimpleInput!E$139/SimpleInput!E100</f>
        <v>6.8446667904386178</v>
      </c>
      <c r="M16" s="88">
        <f>SimpleInput!E$139/SimpleInput!E101</f>
        <v>8.5762341378307667</v>
      </c>
      <c r="N16" s="88">
        <f>SimpleInput!E134/SimpleInput!E102</f>
        <v>17.908045977011493</v>
      </c>
      <c r="O16" s="19"/>
      <c r="P16" s="88">
        <f>SimpleInput!E$139/SimpleInput!E108</f>
        <v>1.2039952319719145</v>
      </c>
      <c r="Q16" s="88">
        <f>SimpleInput!E$139/SimpleInput!E109</f>
        <v>5.224742108060231</v>
      </c>
      <c r="R16" s="88">
        <f>SimpleInput!E$139/SimpleInput!E110</f>
        <v>6.1766846492146605</v>
      </c>
      <c r="S16" s="88">
        <f>SimpleInput!E134/SimpleInput!E111</f>
        <v>12.87603305785124</v>
      </c>
      <c r="T16" s="88">
        <f>SimpleInput!E152/(SimpleInput!E116*100)</f>
        <v>1.1938697318007663</v>
      </c>
    </row>
    <row r="17" spans="1:20">
      <c r="A17" s="91" t="str">
        <f>SimpleInput!F6</f>
        <v>Netgear</v>
      </c>
      <c r="B17" s="91" t="str">
        <f>SimpleInput!F$7</f>
        <v>NTGR</v>
      </c>
      <c r="C17" s="19"/>
      <c r="F17" s="87">
        <f>SimpleInput!F139/SimpleInput!F83</f>
        <v>0.73890683385526301</v>
      </c>
      <c r="G17" s="87">
        <f>SimpleInput!F139/SimpleInput!F84</f>
        <v>6.2495928455995777</v>
      </c>
      <c r="H17" s="87">
        <f>SimpleInput!F139/SimpleInput!F85</f>
        <v>6.9503864538691911</v>
      </c>
      <c r="I17" s="87">
        <f>SimpleInput!F10/SimpleInput!F86</f>
        <v>13.184112625932688</v>
      </c>
      <c r="J17" s="19"/>
      <c r="K17" s="88">
        <f>SimpleInput!F$139/SimpleInput!F99</f>
        <v>0.66593819078063632</v>
      </c>
      <c r="L17" s="88">
        <f>SimpleInput!F$139/SimpleInput!F100</f>
        <v>5.402172765332856</v>
      </c>
      <c r="M17" s="88">
        <f>SimpleInput!F$139/SimpleInput!F101</f>
        <v>5.5276087358723922</v>
      </c>
      <c r="N17" s="88">
        <f>SimpleInput!F134/SimpleInput!F102</f>
        <v>11.373702422145328</v>
      </c>
      <c r="O17" s="19"/>
      <c r="P17" s="88">
        <f>SimpleInput!F$139/SimpleInput!F108</f>
        <v>0.58261786961687145</v>
      </c>
      <c r="Q17" s="88">
        <f>SimpleInput!F$139/SimpleInput!F109</f>
        <v>4.7701818928965762</v>
      </c>
      <c r="R17" s="88">
        <f>SimpleInput!F$139/SimpleInput!F110</f>
        <v>5.0184249217842476</v>
      </c>
      <c r="S17" s="88">
        <f>SimpleInput!F134/SimpleInput!F111</f>
        <v>10.603225806451611</v>
      </c>
      <c r="T17" s="88">
        <f>SimpleInput!F152/(SimpleInput!F116*100)</f>
        <v>0.56868512110726643</v>
      </c>
    </row>
    <row r="19" spans="1:20">
      <c r="E19" s="94" t="s">
        <v>50</v>
      </c>
      <c r="F19" s="93">
        <f>MAX(F14:F17)</f>
        <v>1.3468674249559607</v>
      </c>
      <c r="G19" s="93">
        <f t="shared" ref="G19:I19" si="0">MAX(G14:G17)</f>
        <v>20.589835192616381</v>
      </c>
      <c r="H19" s="93">
        <f t="shared" si="0"/>
        <v>37.872652273398316</v>
      </c>
      <c r="I19" s="93">
        <f t="shared" si="0"/>
        <v>53.977411808412775</v>
      </c>
      <c r="J19" s="93"/>
      <c r="K19" s="93">
        <f t="shared" ref="K19:N19" si="1">MAX(K14:K17)</f>
        <v>1.3376723677347668</v>
      </c>
      <c r="L19" s="93">
        <f t="shared" si="1"/>
        <v>9.0124831904728424</v>
      </c>
      <c r="M19" s="93">
        <f t="shared" si="1"/>
        <v>11.22950829466865</v>
      </c>
      <c r="N19" s="93">
        <f t="shared" si="1"/>
        <v>17.908045977011493</v>
      </c>
      <c r="O19" s="93"/>
      <c r="P19" s="93">
        <f t="shared" ref="P19:T19" si="2">MAX(P14:P17)</f>
        <v>1.2039952319719145</v>
      </c>
      <c r="Q19" s="93">
        <f t="shared" si="2"/>
        <v>6.8014142762460228</v>
      </c>
      <c r="R19" s="93">
        <f t="shared" si="2"/>
        <v>8.444123049832136</v>
      </c>
      <c r="S19" s="93">
        <f t="shared" si="2"/>
        <v>12.87603305785124</v>
      </c>
      <c r="T19" s="93">
        <f t="shared" si="2"/>
        <v>1.1938697318007663</v>
      </c>
    </row>
    <row r="20" spans="1:20">
      <c r="E20" s="94" t="s">
        <v>51</v>
      </c>
      <c r="F20" s="93">
        <f>MIN(F14:F17)</f>
        <v>0.73890683385526301</v>
      </c>
      <c r="G20" s="93">
        <f t="shared" ref="G20:T20" si="3">MIN(G14:G17)</f>
        <v>5.6824379744966445</v>
      </c>
      <c r="H20" s="93">
        <f t="shared" si="3"/>
        <v>6.9503864538691911</v>
      </c>
      <c r="I20" s="93">
        <f t="shared" si="3"/>
        <v>13.184112625932688</v>
      </c>
      <c r="J20" s="93"/>
      <c r="K20" s="93">
        <f t="shared" si="3"/>
        <v>0.66593819078063632</v>
      </c>
      <c r="L20" s="93">
        <f t="shared" si="3"/>
        <v>3.835247834047109</v>
      </c>
      <c r="M20" s="93">
        <f t="shared" si="3"/>
        <v>5.5276087358723922</v>
      </c>
      <c r="N20" s="93">
        <f t="shared" si="3"/>
        <v>8.15</v>
      </c>
      <c r="O20" s="93"/>
      <c r="P20" s="93">
        <f t="shared" si="3"/>
        <v>0.58261786961687145</v>
      </c>
      <c r="Q20" s="93">
        <f t="shared" si="3"/>
        <v>3.8070290386690644</v>
      </c>
      <c r="R20" s="93">
        <f t="shared" si="3"/>
        <v>5.0184249217842476</v>
      </c>
      <c r="S20" s="93">
        <f t="shared" si="3"/>
        <v>8.8909090909090889</v>
      </c>
      <c r="T20" s="93">
        <f t="shared" si="3"/>
        <v>0.56868512110726643</v>
      </c>
    </row>
    <row r="21" spans="1:20">
      <c r="E21" s="94" t="s">
        <v>52</v>
      </c>
      <c r="F21" s="93">
        <f>MEDIAN(F14:F17)</f>
        <v>0.93451719657820753</v>
      </c>
      <c r="G21" s="93">
        <f t="shared" ref="G21:T21" si="4">MEDIAN(G14:G17)</f>
        <v>7.5832931485025687</v>
      </c>
      <c r="H21" s="93">
        <f t="shared" si="4"/>
        <v>11.574335502433271</v>
      </c>
      <c r="I21" s="93">
        <f t="shared" si="4"/>
        <v>25.546606333823732</v>
      </c>
      <c r="J21" s="93"/>
      <c r="K21" s="93">
        <f t="shared" si="4"/>
        <v>0.92661502948770558</v>
      </c>
      <c r="L21" s="93">
        <f t="shared" si="4"/>
        <v>6.1234197778857364</v>
      </c>
      <c r="M21" s="93">
        <f t="shared" si="4"/>
        <v>7.1069777953681683</v>
      </c>
      <c r="N21" s="93">
        <f t="shared" si="4"/>
        <v>13.295546863246578</v>
      </c>
      <c r="O21" s="93"/>
      <c r="P21" s="93">
        <f t="shared" si="4"/>
        <v>0.88888817043668222</v>
      </c>
      <c r="Q21" s="93">
        <f t="shared" si="4"/>
        <v>4.9974620004784036</v>
      </c>
      <c r="R21" s="93">
        <f t="shared" si="4"/>
        <v>5.9140449460272331</v>
      </c>
      <c r="S21" s="93">
        <f t="shared" si="4"/>
        <v>11.13494623655914</v>
      </c>
      <c r="T21" s="93">
        <f t="shared" si="4"/>
        <v>1.0528532608695653</v>
      </c>
    </row>
    <row r="22" spans="1:20">
      <c r="E22" s="23" t="s">
        <v>49</v>
      </c>
      <c r="F22" s="95">
        <f>AVERAGE(F14:F17)</f>
        <v>0.98870216299190972</v>
      </c>
      <c r="G22" s="95">
        <f t="shared" ref="G22:T22" si="5">AVERAGE(G14:G17)</f>
        <v>10.359714866029542</v>
      </c>
      <c r="H22" s="95">
        <f t="shared" si="5"/>
        <v>16.992927433033511</v>
      </c>
      <c r="I22" s="95">
        <f t="shared" si="5"/>
        <v>29.563684275498233</v>
      </c>
      <c r="J22" s="95"/>
      <c r="K22" s="95">
        <f t="shared" si="5"/>
        <v>0.96421015437270352</v>
      </c>
      <c r="L22" s="95">
        <f t="shared" si="5"/>
        <v>6.2736426450728562</v>
      </c>
      <c r="M22" s="95">
        <f t="shared" si="5"/>
        <v>7.7427681553193439</v>
      </c>
      <c r="N22" s="95">
        <f t="shared" si="5"/>
        <v>13.162284925876161</v>
      </c>
      <c r="O22" s="95"/>
      <c r="P22" s="95">
        <f t="shared" si="5"/>
        <v>0.89109736061553757</v>
      </c>
      <c r="Q22" s="95">
        <f t="shared" si="5"/>
        <v>5.150841828967974</v>
      </c>
      <c r="R22" s="95">
        <f t="shared" si="5"/>
        <v>6.3226594659177122</v>
      </c>
      <c r="S22" s="95">
        <f t="shared" si="5"/>
        <v>11.009208655469651</v>
      </c>
      <c r="T22" s="95">
        <f t="shared" si="5"/>
        <v>0.96706534366179076</v>
      </c>
    </row>
    <row r="23" spans="1:20">
      <c r="E23" s="23" t="s">
        <v>1</v>
      </c>
      <c r="F23" s="95">
        <f>F14</f>
        <v>0.78978357165945789</v>
      </c>
      <c r="G23" s="95">
        <f>G14</f>
        <v>20.589835192616381</v>
      </c>
      <c r="H23" s="95">
        <f>H14</f>
        <v>37.872652273398316</v>
      </c>
      <c r="I23" s="95">
        <f>I14</f>
        <v>53.977411808412775</v>
      </c>
      <c r="J23" s="95"/>
      <c r="K23" s="95">
        <f>K14</f>
        <v>0.80014142937342092</v>
      </c>
      <c r="L23" s="95">
        <f>L14</f>
        <v>9.0124831904728424</v>
      </c>
      <c r="M23" s="95">
        <f>M14</f>
        <v>11.22950829466865</v>
      </c>
      <c r="N23" s="95">
        <f>N14</f>
        <v>15.217391304347826</v>
      </c>
      <c r="O23" s="95"/>
      <c r="P23" s="95">
        <f>P14</f>
        <v>0.7601281939983644</v>
      </c>
      <c r="Q23" s="95">
        <f>Q14</f>
        <v>6.8014142762460228</v>
      </c>
      <c r="R23" s="95">
        <f>R14</f>
        <v>8.444123049832136</v>
      </c>
      <c r="S23" s="95">
        <f>S14</f>
        <v>11.666666666666668</v>
      </c>
      <c r="T23" s="95">
        <f>T14</f>
        <v>1.0869565217391304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zoomScaleNormal="100" workbookViewId="0">
      <selection activeCell="F8" sqref="F8"/>
    </sheetView>
  </sheetViews>
  <sheetFormatPr defaultRowHeight="15"/>
  <cols>
    <col min="1" max="1" width="40.140625" style="19" bestFit="1" customWidth="1"/>
    <col min="2" max="2" width="0.85546875" style="19" customWidth="1"/>
    <col min="3" max="12" width="10.7109375" style="19" customWidth="1"/>
    <col min="13" max="13" width="12.5703125" style="19" customWidth="1"/>
    <col min="14" max="16384" width="9.140625" style="19"/>
  </cols>
  <sheetData>
    <row r="1" spans="1:14" ht="21">
      <c r="A1" s="100" t="s">
        <v>122</v>
      </c>
      <c r="B1" s="37"/>
      <c r="C1" s="37"/>
      <c r="D1" s="37"/>
      <c r="E1" s="40"/>
      <c r="F1" s="37"/>
      <c r="G1" s="37"/>
      <c r="H1" s="37"/>
      <c r="I1" s="37"/>
      <c r="J1" s="37"/>
      <c r="K1" s="37"/>
      <c r="L1" s="37"/>
      <c r="M1" s="37"/>
    </row>
    <row r="2" spans="1:14">
      <c r="N2" s="6" t="s">
        <v>0</v>
      </c>
    </row>
    <row r="3" spans="1:14" ht="18.75" customHeight="1" thickBot="1">
      <c r="A3" s="52" t="s">
        <v>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15.95" customHeight="1">
      <c r="B4" s="30"/>
      <c r="C4" s="53"/>
    </row>
    <row r="5" spans="1:14" ht="15.95" customHeight="1">
      <c r="B5" s="53"/>
      <c r="C5" s="54">
        <v>1</v>
      </c>
      <c r="D5" s="54">
        <f t="shared" ref="D5:L5" si="0">C5+1</f>
        <v>2</v>
      </c>
      <c r="E5" s="54">
        <f t="shared" si="0"/>
        <v>3</v>
      </c>
      <c r="F5" s="54">
        <f t="shared" si="0"/>
        <v>4</v>
      </c>
      <c r="G5" s="54">
        <f t="shared" si="0"/>
        <v>5</v>
      </c>
      <c r="H5" s="54">
        <f t="shared" si="0"/>
        <v>6</v>
      </c>
      <c r="I5" s="54">
        <f t="shared" si="0"/>
        <v>7</v>
      </c>
      <c r="J5" s="54">
        <f t="shared" si="0"/>
        <v>8</v>
      </c>
      <c r="K5" s="54">
        <f t="shared" si="0"/>
        <v>9</v>
      </c>
      <c r="L5" s="54">
        <f t="shared" si="0"/>
        <v>10</v>
      </c>
    </row>
    <row r="6" spans="1:14" ht="48.75" customHeight="1">
      <c r="A6" s="19" t="s">
        <v>4</v>
      </c>
      <c r="C6" s="31" t="s">
        <v>54</v>
      </c>
      <c r="D6" s="31" t="s">
        <v>58</v>
      </c>
      <c r="E6" s="31" t="s">
        <v>56</v>
      </c>
      <c r="F6" s="31" t="s">
        <v>57</v>
      </c>
      <c r="G6" s="31" t="s">
        <v>62</v>
      </c>
      <c r="H6" s="31" t="s">
        <v>62</v>
      </c>
      <c r="I6" s="31" t="s">
        <v>62</v>
      </c>
      <c r="J6" s="31" t="s">
        <v>62</v>
      </c>
      <c r="K6" s="31" t="s">
        <v>62</v>
      </c>
      <c r="L6" s="31" t="s">
        <v>62</v>
      </c>
    </row>
    <row r="7" spans="1:14" ht="15.95" customHeight="1">
      <c r="A7" s="19" t="s">
        <v>2</v>
      </c>
      <c r="C7" s="33" t="s">
        <v>1</v>
      </c>
      <c r="D7" s="33" t="s">
        <v>40</v>
      </c>
      <c r="E7" s="33" t="s">
        <v>41</v>
      </c>
      <c r="F7" s="33" t="s">
        <v>42</v>
      </c>
      <c r="G7" s="32"/>
      <c r="H7" s="32"/>
      <c r="I7" s="32"/>
      <c r="J7" s="32"/>
      <c r="K7" s="32"/>
      <c r="L7" s="32"/>
    </row>
    <row r="8" spans="1:14" ht="15.95" customHeight="1">
      <c r="A8" s="19" t="s">
        <v>3</v>
      </c>
      <c r="C8" s="55">
        <v>41000</v>
      </c>
      <c r="D8" s="55">
        <v>41027</v>
      </c>
      <c r="E8" s="55">
        <v>40999</v>
      </c>
      <c r="F8" s="55">
        <v>41000</v>
      </c>
      <c r="G8" s="55"/>
      <c r="H8" s="55"/>
      <c r="I8" s="55"/>
      <c r="J8" s="55"/>
      <c r="K8" s="55"/>
      <c r="L8" s="55"/>
    </row>
    <row r="9" spans="1:14" ht="15.95" customHeight="1">
      <c r="A9" s="19" t="s">
        <v>43</v>
      </c>
      <c r="B9" s="30"/>
      <c r="C9" s="55">
        <v>40727</v>
      </c>
      <c r="D9" s="55">
        <v>40845</v>
      </c>
      <c r="E9" s="55">
        <v>40908</v>
      </c>
      <c r="F9" s="55">
        <v>40908</v>
      </c>
      <c r="G9" s="55"/>
      <c r="H9" s="55"/>
      <c r="I9" s="55"/>
      <c r="J9" s="55"/>
      <c r="K9" s="55"/>
      <c r="L9" s="55"/>
    </row>
    <row r="10" spans="1:14" ht="15.95" customHeight="1">
      <c r="A10" s="19" t="s">
        <v>5</v>
      </c>
      <c r="C10" s="56">
        <v>3.5</v>
      </c>
      <c r="D10" s="56">
        <v>4.8899999999999997</v>
      </c>
      <c r="E10" s="56">
        <v>15.58</v>
      </c>
      <c r="F10" s="56">
        <v>32.869999999999997</v>
      </c>
      <c r="G10" s="56"/>
      <c r="H10" s="56"/>
      <c r="I10" s="56"/>
      <c r="J10" s="56"/>
      <c r="K10" s="56"/>
      <c r="L10" s="56"/>
    </row>
    <row r="11" spans="1:14" ht="15.95" customHeight="1">
      <c r="A11" s="19" t="s">
        <v>125</v>
      </c>
      <c r="C11" s="101">
        <v>41087</v>
      </c>
      <c r="D11" s="101">
        <v>41087</v>
      </c>
      <c r="E11" s="101">
        <v>41087</v>
      </c>
      <c r="F11" s="101">
        <v>41087</v>
      </c>
      <c r="G11" s="56"/>
      <c r="H11" s="56"/>
      <c r="I11" s="56"/>
      <c r="J11" s="56"/>
      <c r="K11" s="56"/>
      <c r="L11" s="56"/>
    </row>
    <row r="12" spans="1:14" ht="15.95" customHeight="1"/>
    <row r="13" spans="1:14" ht="18.75" customHeight="1" thickBot="1">
      <c r="A13" s="52" t="s">
        <v>64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4" ht="15.95" customHeight="1">
      <c r="A14" s="17"/>
      <c r="B14" s="15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4" ht="15.95" customHeight="1">
      <c r="A15" s="15" t="s">
        <v>6</v>
      </c>
      <c r="B15" s="15"/>
      <c r="C15" s="10">
        <v>94.148559000000006</v>
      </c>
      <c r="D15" s="10">
        <v>450.06604499999997</v>
      </c>
      <c r="E15" s="10">
        <v>529.548</v>
      </c>
      <c r="F15" s="10">
        <v>37.978883000000003</v>
      </c>
      <c r="G15" s="10"/>
      <c r="H15" s="10"/>
      <c r="I15" s="10"/>
      <c r="J15" s="10"/>
      <c r="K15" s="10"/>
      <c r="L15" s="10"/>
    </row>
    <row r="16" spans="1:14">
      <c r="A16" s="17" t="s">
        <v>7</v>
      </c>
      <c r="B16" s="15"/>
      <c r="C16" s="10">
        <v>0.77182571428571445</v>
      </c>
      <c r="D16" s="10">
        <v>0</v>
      </c>
      <c r="E16" s="10">
        <v>5.0915917843388963</v>
      </c>
      <c r="F16" s="10">
        <v>0.86081563735929423</v>
      </c>
      <c r="G16" s="10"/>
      <c r="H16" s="10"/>
      <c r="I16" s="10"/>
      <c r="J16" s="10"/>
      <c r="K16" s="10"/>
      <c r="L16" s="10"/>
    </row>
    <row r="17" spans="1:14">
      <c r="A17" s="15" t="s">
        <v>8</v>
      </c>
      <c r="B17" s="15"/>
      <c r="C17" s="10">
        <v>0</v>
      </c>
      <c r="D17" s="10">
        <v>0</v>
      </c>
      <c r="E17" s="10">
        <v>0</v>
      </c>
      <c r="F17" s="10">
        <v>0</v>
      </c>
      <c r="G17" s="10"/>
      <c r="H17" s="10"/>
      <c r="I17" s="10"/>
      <c r="J17" s="10"/>
      <c r="K17" s="10"/>
      <c r="L17" s="10"/>
    </row>
    <row r="18" spans="1:14">
      <c r="A18" s="15" t="s">
        <v>9</v>
      </c>
      <c r="B18" s="15"/>
      <c r="C18" s="10">
        <v>0</v>
      </c>
      <c r="D18" s="10">
        <v>0</v>
      </c>
      <c r="E18" s="10">
        <v>0</v>
      </c>
      <c r="F18" s="10">
        <v>0</v>
      </c>
      <c r="G18" s="10"/>
      <c r="H18" s="10"/>
      <c r="I18" s="10"/>
      <c r="J18" s="10"/>
      <c r="K18" s="10"/>
      <c r="L18" s="10"/>
    </row>
    <row r="19" spans="1:14">
      <c r="A19" s="16" t="s">
        <v>10</v>
      </c>
      <c r="B19" s="58"/>
      <c r="C19" s="27">
        <f>SUM(C15:C18)</f>
        <v>94.920384714285717</v>
      </c>
      <c r="D19" s="27">
        <f t="shared" ref="D19:F19" si="1">SUM(D15:D18)</f>
        <v>450.06604499999997</v>
      </c>
      <c r="E19" s="27">
        <f t="shared" si="1"/>
        <v>534.6395917843389</v>
      </c>
      <c r="F19" s="27">
        <f t="shared" si="1"/>
        <v>38.839698637359298</v>
      </c>
      <c r="G19" s="27">
        <f t="shared" ref="G19" si="2">SUM(G15:G18)</f>
        <v>0</v>
      </c>
      <c r="H19" s="27">
        <f t="shared" ref="H19" si="3">SUM(H15:H18)</f>
        <v>0</v>
      </c>
      <c r="I19" s="27">
        <f t="shared" ref="I19" si="4">SUM(I15:I18)</f>
        <v>0</v>
      </c>
      <c r="J19" s="27">
        <f t="shared" ref="J19" si="5">SUM(J15:J18)</f>
        <v>0</v>
      </c>
      <c r="K19" s="27">
        <f t="shared" ref="K19" si="6">SUM(K15:K18)</f>
        <v>0</v>
      </c>
      <c r="L19" s="27">
        <f t="shared" ref="L19" si="7">SUM(L15:L18)</f>
        <v>0</v>
      </c>
    </row>
    <row r="20" spans="1:14">
      <c r="A20" s="15"/>
    </row>
    <row r="21" spans="1:14" ht="15.75" thickBot="1">
      <c r="A21" s="52" t="s">
        <v>65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N21" s="19" t="s">
        <v>22</v>
      </c>
    </row>
    <row r="22" spans="1:14">
      <c r="A22" s="12"/>
      <c r="D22" s="59"/>
      <c r="E22" s="60"/>
      <c r="F22" s="61"/>
    </row>
    <row r="23" spans="1:14">
      <c r="A23" s="42" t="s">
        <v>11</v>
      </c>
      <c r="B23" s="43"/>
      <c r="C23" s="44" t="str">
        <f>C$7</f>
        <v>EXTR</v>
      </c>
      <c r="D23" s="44" t="str">
        <f t="shared" ref="D23:L23" si="8">D$7</f>
        <v>BRCD</v>
      </c>
      <c r="E23" s="44" t="str">
        <f t="shared" si="8"/>
        <v>JNPR</v>
      </c>
      <c r="F23" s="44" t="str">
        <f t="shared" si="8"/>
        <v>NTGR</v>
      </c>
      <c r="G23" s="44">
        <f t="shared" si="8"/>
        <v>0</v>
      </c>
      <c r="H23" s="44">
        <f t="shared" si="8"/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</row>
    <row r="24" spans="1:14">
      <c r="A24" s="15" t="s">
        <v>12</v>
      </c>
      <c r="B24" s="15"/>
      <c r="C24" s="14">
        <v>334.428</v>
      </c>
      <c r="D24" s="14">
        <v>2147.442</v>
      </c>
      <c r="E24" s="14">
        <v>4448.7089999999998</v>
      </c>
      <c r="F24" s="14">
        <v>1181.018</v>
      </c>
      <c r="G24" s="14"/>
      <c r="H24" s="14"/>
      <c r="I24" s="14"/>
      <c r="J24" s="14"/>
      <c r="K24" s="14"/>
      <c r="L24" s="14"/>
    </row>
    <row r="25" spans="1:14">
      <c r="A25" s="62" t="s">
        <v>13</v>
      </c>
      <c r="C25" s="5">
        <v>-154.46700000000001</v>
      </c>
      <c r="D25" s="5">
        <v>-863.90800000000002</v>
      </c>
      <c r="E25" s="5">
        <v>-1580.1189999999999</v>
      </c>
      <c r="F25" s="5">
        <v>-811.572</v>
      </c>
      <c r="G25" s="5"/>
      <c r="H25" s="5"/>
      <c r="I25" s="5"/>
      <c r="J25" s="5"/>
      <c r="K25" s="5"/>
      <c r="L25" s="5"/>
      <c r="N25" s="19" t="s">
        <v>35</v>
      </c>
    </row>
    <row r="26" spans="1:14">
      <c r="A26" s="15" t="s">
        <v>123</v>
      </c>
      <c r="B26" s="15"/>
      <c r="C26" s="29">
        <f t="shared" ref="C26:L26" si="9">SUM(C24:C25)</f>
        <v>179.96099999999998</v>
      </c>
      <c r="D26" s="29">
        <f t="shared" si="9"/>
        <v>1283.5340000000001</v>
      </c>
      <c r="E26" s="29">
        <f t="shared" si="9"/>
        <v>2868.59</v>
      </c>
      <c r="F26" s="29">
        <f t="shared" si="9"/>
        <v>369.44600000000003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</row>
    <row r="27" spans="1:14">
      <c r="A27" s="49" t="s">
        <v>14</v>
      </c>
      <c r="C27" s="9">
        <f>-(103.277+24.683)</f>
        <v>-127.96000000000001</v>
      </c>
      <c r="D27" s="9">
        <f>-(608.513+69.506)</f>
        <v>-678.01900000000001</v>
      </c>
      <c r="E27" s="9">
        <f>-(1001.06+179.132)</f>
        <v>-1180.192</v>
      </c>
      <c r="F27" s="9">
        <f>-(154.562+39.423)</f>
        <v>-193.98500000000001</v>
      </c>
      <c r="G27" s="9"/>
      <c r="H27" s="9"/>
      <c r="I27" s="9"/>
      <c r="J27" s="9"/>
      <c r="K27" s="9"/>
      <c r="L27" s="9"/>
      <c r="N27" s="19" t="s">
        <v>35</v>
      </c>
    </row>
    <row r="28" spans="1:14">
      <c r="A28" s="49" t="s">
        <v>17</v>
      </c>
      <c r="C28" s="5">
        <f>-49.33-3.806+4.429</f>
        <v>-48.706999999999994</v>
      </c>
      <c r="D28" s="5">
        <f>-(354.401+0.125+60.713+12.756)</f>
        <v>-427.995</v>
      </c>
      <c r="E28" s="5">
        <f>-(1026.79+5.366+30.564+7.154)</f>
        <v>-1069.874</v>
      </c>
      <c r="F28" s="5">
        <f>-(48.699+2.094-0.201)</f>
        <v>-50.591999999999999</v>
      </c>
      <c r="G28" s="5"/>
      <c r="H28" s="5"/>
      <c r="I28" s="5"/>
      <c r="J28" s="5"/>
      <c r="K28" s="5"/>
      <c r="L28" s="5"/>
      <c r="N28" s="19" t="s">
        <v>35</v>
      </c>
    </row>
    <row r="29" spans="1:14">
      <c r="A29" s="16" t="s">
        <v>15</v>
      </c>
      <c r="B29" s="16"/>
      <c r="C29" s="38">
        <f t="shared" ref="C29:L29" si="10">SUM(C26:C28)</f>
        <v>3.2939999999999827</v>
      </c>
      <c r="D29" s="38">
        <f t="shared" si="10"/>
        <v>177.5200000000001</v>
      </c>
      <c r="E29" s="38">
        <f t="shared" si="10"/>
        <v>618.52400000000011</v>
      </c>
      <c r="F29" s="39">
        <f t="shared" si="10"/>
        <v>124.86900000000001</v>
      </c>
      <c r="G29" s="39">
        <f t="shared" si="10"/>
        <v>0</v>
      </c>
      <c r="H29" s="39">
        <f t="shared" si="10"/>
        <v>0</v>
      </c>
      <c r="I29" s="39">
        <f t="shared" si="10"/>
        <v>0</v>
      </c>
      <c r="J29" s="39">
        <f t="shared" si="10"/>
        <v>0</v>
      </c>
      <c r="K29" s="39">
        <f t="shared" si="10"/>
        <v>0</v>
      </c>
      <c r="L29" s="39">
        <f t="shared" si="10"/>
        <v>0</v>
      </c>
      <c r="M29" s="24"/>
      <c r="N29" s="24"/>
    </row>
    <row r="30" spans="1:14">
      <c r="A30" s="48" t="s">
        <v>16</v>
      </c>
      <c r="B30" s="15"/>
      <c r="C30" s="14">
        <v>-0.13200000000000001</v>
      </c>
      <c r="D30" s="14">
        <v>-97.837999999999994</v>
      </c>
      <c r="E30" s="14">
        <v>-49.5</v>
      </c>
      <c r="F30" s="14">
        <v>0</v>
      </c>
      <c r="G30" s="14"/>
      <c r="H30" s="14"/>
      <c r="I30" s="14"/>
      <c r="J30" s="14"/>
      <c r="K30" s="14"/>
      <c r="L30" s="14"/>
      <c r="N30" s="19" t="s">
        <v>35</v>
      </c>
    </row>
    <row r="31" spans="1:14">
      <c r="A31" s="48" t="s">
        <v>19</v>
      </c>
      <c r="B31" s="15"/>
      <c r="C31" s="10">
        <v>1.304</v>
      </c>
      <c r="D31" s="10">
        <f>0.597+0.124</f>
        <v>0.72099999999999997</v>
      </c>
      <c r="E31" s="10">
        <v>9.6999999999999993</v>
      </c>
      <c r="F31" s="10">
        <v>0.47699999999999998</v>
      </c>
      <c r="G31" s="10"/>
      <c r="H31" s="10"/>
      <c r="I31" s="10"/>
      <c r="J31" s="10"/>
      <c r="K31" s="10"/>
      <c r="L31" s="10"/>
      <c r="N31" s="19" t="s">
        <v>55</v>
      </c>
    </row>
    <row r="32" spans="1:14">
      <c r="A32" s="48" t="s">
        <v>18</v>
      </c>
      <c r="B32" s="15"/>
      <c r="C32" s="10">
        <v>-0.57399999999999995</v>
      </c>
      <c r="D32" s="10">
        <v>-0.97499999999999998</v>
      </c>
      <c r="E32" s="10">
        <v>-7</v>
      </c>
      <c r="F32" s="10">
        <v>-1.1359999999999999</v>
      </c>
      <c r="G32" s="10"/>
      <c r="H32" s="10"/>
      <c r="I32" s="10"/>
      <c r="J32" s="10"/>
      <c r="K32" s="10"/>
      <c r="L32" s="10"/>
      <c r="N32" s="19" t="s">
        <v>35</v>
      </c>
    </row>
    <row r="33" spans="1:14">
      <c r="A33" s="15" t="s">
        <v>66</v>
      </c>
      <c r="B33" s="15"/>
      <c r="C33" s="29">
        <f t="shared" ref="C33:L33" si="11">SUM(C29:C32)</f>
        <v>3.8919999999999826</v>
      </c>
      <c r="D33" s="29">
        <f t="shared" si="11"/>
        <v>79.428000000000111</v>
      </c>
      <c r="E33" s="29">
        <f t="shared" si="11"/>
        <v>571.72400000000016</v>
      </c>
      <c r="F33" s="29">
        <f t="shared" si="11"/>
        <v>124.21000000000002</v>
      </c>
      <c r="G33" s="29">
        <f t="shared" si="11"/>
        <v>0</v>
      </c>
      <c r="H33" s="29">
        <f t="shared" si="11"/>
        <v>0</v>
      </c>
      <c r="I33" s="29">
        <f t="shared" si="11"/>
        <v>0</v>
      </c>
      <c r="J33" s="29">
        <f t="shared" si="11"/>
        <v>0</v>
      </c>
      <c r="K33" s="29">
        <f t="shared" si="11"/>
        <v>0</v>
      </c>
      <c r="L33" s="29">
        <f t="shared" si="11"/>
        <v>0</v>
      </c>
    </row>
    <row r="34" spans="1:14">
      <c r="A34" s="49" t="s">
        <v>60</v>
      </c>
      <c r="B34" s="15"/>
      <c r="C34" s="14">
        <v>-0.999</v>
      </c>
      <c r="D34" s="14">
        <v>-28.818000000000001</v>
      </c>
      <c r="E34" s="14">
        <v>-146.70400000000001</v>
      </c>
      <c r="F34" s="14">
        <v>-32.841999999999999</v>
      </c>
      <c r="G34" s="14"/>
      <c r="H34" s="14"/>
      <c r="I34" s="14"/>
      <c r="J34" s="14"/>
      <c r="K34" s="14"/>
      <c r="L34" s="14"/>
      <c r="N34" s="19" t="s">
        <v>35</v>
      </c>
    </row>
    <row r="35" spans="1:14">
      <c r="A35" s="15" t="s">
        <v>124</v>
      </c>
      <c r="B35" s="15"/>
      <c r="C35" s="29">
        <f t="shared" ref="C35:L35" si="12">SUM(C33:C34)</f>
        <v>2.8929999999999825</v>
      </c>
      <c r="D35" s="29">
        <f t="shared" si="12"/>
        <v>50.610000000000113</v>
      </c>
      <c r="E35" s="29">
        <f t="shared" si="12"/>
        <v>425.02000000000015</v>
      </c>
      <c r="F35" s="29">
        <f t="shared" si="12"/>
        <v>91.368000000000023</v>
      </c>
      <c r="G35" s="29">
        <f t="shared" si="12"/>
        <v>0</v>
      </c>
      <c r="H35" s="29">
        <f t="shared" si="12"/>
        <v>0</v>
      </c>
      <c r="I35" s="29">
        <f t="shared" si="12"/>
        <v>0</v>
      </c>
      <c r="J35" s="29">
        <f t="shared" si="12"/>
        <v>0</v>
      </c>
      <c r="K35" s="29">
        <f t="shared" si="12"/>
        <v>0</v>
      </c>
      <c r="L35" s="29">
        <f t="shared" si="12"/>
        <v>0</v>
      </c>
    </row>
    <row r="36" spans="1:14">
      <c r="A36" s="16" t="s">
        <v>70</v>
      </c>
      <c r="B36" s="15"/>
      <c r="C36" s="69">
        <v>3.1176248720297239E-2</v>
      </c>
      <c r="D36" s="69">
        <v>0.10182483954690887</v>
      </c>
      <c r="E36" s="69">
        <v>0.78501413882460314</v>
      </c>
      <c r="F36" s="69">
        <v>2.4087314141094596</v>
      </c>
      <c r="G36" s="69"/>
      <c r="H36" s="69"/>
      <c r="I36" s="69"/>
      <c r="J36" s="69"/>
      <c r="K36" s="69"/>
      <c r="L36" s="69"/>
    </row>
    <row r="37" spans="1:14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4">
      <c r="A38" s="70" t="s">
        <v>71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4">
      <c r="A39" s="63" t="s">
        <v>21</v>
      </c>
      <c r="B39" s="15"/>
      <c r="C39" s="10">
        <v>-6.8109999999999999</v>
      </c>
      <c r="D39" s="10">
        <v>-206.352</v>
      </c>
      <c r="E39" s="10">
        <f>-(142.16+27.878)</f>
        <v>-170.03800000000001</v>
      </c>
      <c r="F39" s="10">
        <v>-14.734999999999999</v>
      </c>
      <c r="G39" s="10"/>
      <c r="H39" s="10"/>
      <c r="I39" s="10"/>
      <c r="J39" s="10"/>
      <c r="K39" s="10"/>
      <c r="L39" s="10"/>
      <c r="M39" s="15"/>
      <c r="N39" s="19" t="s">
        <v>59</v>
      </c>
    </row>
    <row r="40" spans="1:14">
      <c r="A40" s="16" t="s">
        <v>20</v>
      </c>
      <c r="B40" s="15"/>
      <c r="C40" s="38">
        <f t="shared" ref="C40:L40" si="13">C29-C39</f>
        <v>10.104999999999983</v>
      </c>
      <c r="D40" s="38">
        <f t="shared" si="13"/>
        <v>383.87200000000007</v>
      </c>
      <c r="E40" s="38">
        <f t="shared" si="13"/>
        <v>788.56200000000013</v>
      </c>
      <c r="F40" s="39">
        <f t="shared" si="13"/>
        <v>139.60400000000001</v>
      </c>
      <c r="G40" s="39">
        <f t="shared" si="13"/>
        <v>0</v>
      </c>
      <c r="H40" s="39">
        <f t="shared" si="13"/>
        <v>0</v>
      </c>
      <c r="I40" s="39">
        <f t="shared" si="13"/>
        <v>0</v>
      </c>
      <c r="J40" s="39">
        <f t="shared" si="13"/>
        <v>0</v>
      </c>
      <c r="K40" s="39">
        <f t="shared" si="13"/>
        <v>0</v>
      </c>
      <c r="L40" s="39">
        <f t="shared" si="13"/>
        <v>0</v>
      </c>
      <c r="M40" s="24"/>
      <c r="N40" s="24"/>
    </row>
    <row r="4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4">
      <c r="A42" s="42" t="s">
        <v>23</v>
      </c>
      <c r="B42" s="43"/>
      <c r="C42" s="44" t="str">
        <f>C$7</f>
        <v>EXTR</v>
      </c>
      <c r="D42" s="44" t="str">
        <f t="shared" ref="D42:L42" si="14">D$7</f>
        <v>BRCD</v>
      </c>
      <c r="E42" s="44" t="str">
        <f t="shared" si="14"/>
        <v>JNPR</v>
      </c>
      <c r="F42" s="44" t="str">
        <f t="shared" si="14"/>
        <v>NTGR</v>
      </c>
      <c r="G42" s="44">
        <f t="shared" si="14"/>
        <v>0</v>
      </c>
      <c r="H42" s="44">
        <f t="shared" si="14"/>
        <v>0</v>
      </c>
      <c r="I42" s="44">
        <f t="shared" si="14"/>
        <v>0</v>
      </c>
      <c r="J42" s="44">
        <f t="shared" si="14"/>
        <v>0</v>
      </c>
      <c r="K42" s="44">
        <f t="shared" si="14"/>
        <v>0</v>
      </c>
      <c r="L42" s="44">
        <f t="shared" si="14"/>
        <v>0</v>
      </c>
      <c r="M42" s="24"/>
      <c r="N42" s="24"/>
    </row>
    <row r="43" spans="1:14">
      <c r="A43" s="15" t="s">
        <v>12</v>
      </c>
      <c r="B43" s="15"/>
      <c r="C43" s="14">
        <v>235.07400000000001</v>
      </c>
      <c r="D43" s="14">
        <v>1104.0809999999999</v>
      </c>
      <c r="E43" s="14">
        <v>1032.498</v>
      </c>
      <c r="F43" s="14">
        <v>325.62</v>
      </c>
      <c r="G43" s="14"/>
      <c r="H43" s="14"/>
      <c r="I43" s="14"/>
      <c r="J43" s="14"/>
      <c r="K43" s="14"/>
      <c r="L43" s="14"/>
    </row>
    <row r="44" spans="1:14">
      <c r="A44" s="62" t="s">
        <v>13</v>
      </c>
      <c r="C44" s="5">
        <v>-104.059</v>
      </c>
      <c r="D44" s="5">
        <v>-422.23</v>
      </c>
      <c r="E44" s="5">
        <v>-398.44299999999998</v>
      </c>
      <c r="F44" s="5">
        <v>-225.77099999999999</v>
      </c>
      <c r="G44" s="5"/>
      <c r="H44" s="5"/>
      <c r="I44" s="5"/>
      <c r="J44" s="5"/>
      <c r="K44" s="5"/>
      <c r="L44" s="5"/>
    </row>
    <row r="45" spans="1:14">
      <c r="A45" s="15" t="s">
        <v>123</v>
      </c>
      <c r="B45" s="15"/>
      <c r="C45" s="29">
        <f t="shared" ref="C45:L45" si="15">SUM(C43:C44)</f>
        <v>131.01500000000001</v>
      </c>
      <c r="D45" s="29">
        <f t="shared" si="15"/>
        <v>681.85099999999989</v>
      </c>
      <c r="E45" s="29">
        <f t="shared" si="15"/>
        <v>634.05500000000006</v>
      </c>
      <c r="F45" s="29">
        <f t="shared" si="15"/>
        <v>99.849000000000018</v>
      </c>
      <c r="G45" s="29">
        <f t="shared" si="15"/>
        <v>0</v>
      </c>
      <c r="H45" s="29">
        <f t="shared" si="15"/>
        <v>0</v>
      </c>
      <c r="I45" s="29">
        <f t="shared" si="15"/>
        <v>0</v>
      </c>
      <c r="J45" s="29">
        <f t="shared" si="15"/>
        <v>0</v>
      </c>
      <c r="K45" s="29">
        <f t="shared" si="15"/>
        <v>0</v>
      </c>
      <c r="L45" s="29">
        <f t="shared" si="15"/>
        <v>0</v>
      </c>
    </row>
    <row r="46" spans="1:14">
      <c r="A46" s="49" t="s">
        <v>14</v>
      </c>
      <c r="C46" s="9">
        <f>-(65.512+21.777)</f>
        <v>-87.289000000000001</v>
      </c>
      <c r="D46" s="9">
        <f>-(311.543+37.14)</f>
        <v>-348.68299999999999</v>
      </c>
      <c r="E46" s="9">
        <f>-(257.719+54.666)</f>
        <v>-312.38499999999999</v>
      </c>
      <c r="F46" s="9">
        <f>-(38.97+10.413)</f>
        <v>-49.382999999999996</v>
      </c>
      <c r="G46" s="9"/>
      <c r="H46" s="9"/>
      <c r="I46" s="9"/>
      <c r="J46" s="9"/>
      <c r="K46" s="9"/>
      <c r="L46" s="9"/>
    </row>
    <row r="47" spans="1:14">
      <c r="A47" s="49" t="s">
        <v>17</v>
      </c>
      <c r="C47" s="5">
        <f>-(33.866+1.357)</f>
        <v>-35.222999999999999</v>
      </c>
      <c r="D47" s="5">
        <f>-(182.25+29.73)</f>
        <v>-211.98</v>
      </c>
      <c r="E47" s="5">
        <f>-(269.602+1.178+2.039+1.142)</f>
        <v>-273.96099999999996</v>
      </c>
      <c r="F47" s="5">
        <f>-(14.121+0.151)</f>
        <v>-14.272</v>
      </c>
      <c r="G47" s="5"/>
      <c r="H47" s="5"/>
      <c r="I47" s="5"/>
      <c r="J47" s="5"/>
      <c r="K47" s="5"/>
      <c r="L47" s="5"/>
    </row>
    <row r="48" spans="1:14">
      <c r="A48" s="16" t="s">
        <v>15</v>
      </c>
      <c r="B48" s="16"/>
      <c r="C48" s="38">
        <f t="shared" ref="C48:L48" si="16">SUM(C45:C47)</f>
        <v>8.5030000000000143</v>
      </c>
      <c r="D48" s="38">
        <f t="shared" si="16"/>
        <v>121.1879999999999</v>
      </c>
      <c r="E48" s="38">
        <f t="shared" si="16"/>
        <v>47.709000000000117</v>
      </c>
      <c r="F48" s="39">
        <f t="shared" si="16"/>
        <v>36.194000000000024</v>
      </c>
      <c r="G48" s="39">
        <f t="shared" si="16"/>
        <v>0</v>
      </c>
      <c r="H48" s="39">
        <f t="shared" si="16"/>
        <v>0</v>
      </c>
      <c r="I48" s="39">
        <f t="shared" si="16"/>
        <v>0</v>
      </c>
      <c r="J48" s="39">
        <f t="shared" si="16"/>
        <v>0</v>
      </c>
      <c r="K48" s="39">
        <f t="shared" si="16"/>
        <v>0</v>
      </c>
      <c r="L48" s="39">
        <f t="shared" si="16"/>
        <v>0</v>
      </c>
    </row>
    <row r="49" spans="1:12">
      <c r="A49" s="48" t="s">
        <v>16</v>
      </c>
      <c r="B49" s="15"/>
      <c r="C49" s="14">
        <v>-7.4999999999999997E-2</v>
      </c>
      <c r="D49" s="14">
        <v>-25.774999999999999</v>
      </c>
      <c r="E49" s="14">
        <v>-14.2</v>
      </c>
      <c r="F49" s="14">
        <v>0</v>
      </c>
      <c r="G49" s="14"/>
      <c r="H49" s="14"/>
      <c r="I49" s="14"/>
      <c r="J49" s="14"/>
      <c r="K49" s="14"/>
      <c r="L49" s="14"/>
    </row>
    <row r="50" spans="1:12">
      <c r="A50" s="48" t="s">
        <v>19</v>
      </c>
      <c r="B50" s="15"/>
      <c r="C50" s="10">
        <v>0.92900000000000005</v>
      </c>
      <c r="D50" s="10"/>
      <c r="E50" s="10">
        <v>2.8</v>
      </c>
      <c r="F50" s="10">
        <v>0.11899999999999999</v>
      </c>
      <c r="G50" s="10"/>
      <c r="H50" s="10"/>
      <c r="I50" s="10"/>
      <c r="J50" s="10"/>
      <c r="K50" s="10"/>
      <c r="L50" s="10"/>
    </row>
    <row r="51" spans="1:12">
      <c r="A51" s="48" t="s">
        <v>18</v>
      </c>
      <c r="B51" s="15"/>
      <c r="C51" s="10">
        <v>-5.5E-2</v>
      </c>
      <c r="D51" s="10">
        <v>-1.448</v>
      </c>
      <c r="E51" s="10">
        <v>-13</v>
      </c>
      <c r="F51" s="10">
        <v>-0.60099999999999998</v>
      </c>
      <c r="G51" s="10"/>
      <c r="H51" s="10"/>
      <c r="I51" s="10"/>
      <c r="J51" s="10"/>
      <c r="K51" s="10"/>
      <c r="L51" s="10"/>
    </row>
    <row r="52" spans="1:12">
      <c r="A52" s="15" t="s">
        <v>66</v>
      </c>
      <c r="B52" s="15"/>
      <c r="C52" s="29">
        <f t="shared" ref="C52:L52" si="17">SUM(C48:C51)</f>
        <v>9.3020000000000156</v>
      </c>
      <c r="D52" s="29">
        <f t="shared" si="17"/>
        <v>93.964999999999904</v>
      </c>
      <c r="E52" s="29">
        <f t="shared" si="17"/>
        <v>23.309000000000111</v>
      </c>
      <c r="F52" s="29">
        <f t="shared" si="17"/>
        <v>35.712000000000025</v>
      </c>
      <c r="G52" s="29">
        <f t="shared" si="17"/>
        <v>0</v>
      </c>
      <c r="H52" s="29">
        <f t="shared" si="17"/>
        <v>0</v>
      </c>
      <c r="I52" s="29">
        <f t="shared" si="17"/>
        <v>0</v>
      </c>
      <c r="J52" s="29">
        <f t="shared" si="17"/>
        <v>0</v>
      </c>
      <c r="K52" s="29">
        <f t="shared" si="17"/>
        <v>0</v>
      </c>
      <c r="L52" s="29">
        <f t="shared" si="17"/>
        <v>0</v>
      </c>
    </row>
    <row r="53" spans="1:12">
      <c r="A53" s="49" t="s">
        <v>60</v>
      </c>
      <c r="B53" s="15"/>
      <c r="C53" s="14">
        <v>-1.24</v>
      </c>
      <c r="D53" s="14">
        <v>3.915</v>
      </c>
      <c r="E53" s="14">
        <v>-7.008</v>
      </c>
      <c r="F53" s="14">
        <v>-10.565</v>
      </c>
      <c r="G53" s="14"/>
      <c r="H53" s="14"/>
      <c r="I53" s="14"/>
      <c r="J53" s="14"/>
      <c r="K53" s="14"/>
      <c r="L53" s="14"/>
    </row>
    <row r="54" spans="1:12">
      <c r="A54" s="15" t="s">
        <v>124</v>
      </c>
      <c r="B54" s="15"/>
      <c r="C54" s="29">
        <f t="shared" ref="C54:L54" si="18">SUM(C52:C53)</f>
        <v>8.0620000000000154</v>
      </c>
      <c r="D54" s="29">
        <f t="shared" si="18"/>
        <v>97.87999999999991</v>
      </c>
      <c r="E54" s="29">
        <f t="shared" si="18"/>
        <v>16.301000000000112</v>
      </c>
      <c r="F54" s="29">
        <f t="shared" si="18"/>
        <v>25.147000000000027</v>
      </c>
      <c r="G54" s="29">
        <f t="shared" si="18"/>
        <v>0</v>
      </c>
      <c r="H54" s="29">
        <f t="shared" si="18"/>
        <v>0</v>
      </c>
      <c r="I54" s="29">
        <f t="shared" si="18"/>
        <v>0</v>
      </c>
      <c r="J54" s="29">
        <f t="shared" si="18"/>
        <v>0</v>
      </c>
      <c r="K54" s="29">
        <f t="shared" si="18"/>
        <v>0</v>
      </c>
      <c r="L54" s="29">
        <f t="shared" si="18"/>
        <v>0</v>
      </c>
    </row>
    <row r="55" spans="1:12">
      <c r="A55" s="16" t="s">
        <v>70</v>
      </c>
      <c r="B55" s="15"/>
      <c r="C55" s="69">
        <v>8.5542999628627672E-2</v>
      </c>
      <c r="D55" s="69">
        <v>0.20702506170776622</v>
      </c>
      <c r="E55" s="69">
        <v>3.0544349360950438E-2</v>
      </c>
      <c r="F55" s="69">
        <v>0.65188199917046941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</row>
    <row r="56" spans="1:12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>
      <c r="A57" s="70" t="s">
        <v>71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>
      <c r="A58" s="63" t="s">
        <v>21</v>
      </c>
      <c r="B58" s="15"/>
      <c r="C58" s="10">
        <f>-(4.001+1.401)</f>
        <v>-5.4020000000000001</v>
      </c>
      <c r="D58" s="10">
        <v>-97.524000000000001</v>
      </c>
      <c r="E58" s="10">
        <v>-43.396000000000001</v>
      </c>
      <c r="F58" s="10">
        <v>-3.609</v>
      </c>
      <c r="G58" s="10"/>
      <c r="H58" s="10"/>
      <c r="I58" s="10"/>
      <c r="J58" s="10"/>
      <c r="K58" s="10"/>
      <c r="L58" s="10"/>
    </row>
    <row r="59" spans="1:12">
      <c r="A59" s="16" t="s">
        <v>20</v>
      </c>
      <c r="B59" s="15"/>
      <c r="C59" s="38">
        <f t="shared" ref="C59:L59" si="19">C48-C58</f>
        <v>13.905000000000015</v>
      </c>
      <c r="D59" s="38">
        <f t="shared" si="19"/>
        <v>218.7119999999999</v>
      </c>
      <c r="E59" s="38">
        <f t="shared" si="19"/>
        <v>91.105000000000118</v>
      </c>
      <c r="F59" s="39">
        <f t="shared" si="19"/>
        <v>39.803000000000026</v>
      </c>
      <c r="G59" s="39">
        <f t="shared" si="19"/>
        <v>0</v>
      </c>
      <c r="H59" s="39">
        <f t="shared" si="19"/>
        <v>0</v>
      </c>
      <c r="I59" s="39">
        <f t="shared" si="19"/>
        <v>0</v>
      </c>
      <c r="J59" s="39">
        <f t="shared" si="19"/>
        <v>0</v>
      </c>
      <c r="K59" s="39">
        <f t="shared" si="19"/>
        <v>0</v>
      </c>
      <c r="L59" s="39">
        <f t="shared" si="19"/>
        <v>0</v>
      </c>
    </row>
    <row r="61" spans="1:12">
      <c r="A61" s="42" t="s">
        <v>24</v>
      </c>
      <c r="B61" s="43"/>
      <c r="C61" s="44" t="str">
        <f>C$7</f>
        <v>EXTR</v>
      </c>
      <c r="D61" s="44" t="str">
        <f t="shared" ref="D61:L61" si="20">D$7</f>
        <v>BRCD</v>
      </c>
      <c r="E61" s="44" t="str">
        <f t="shared" si="20"/>
        <v>JNPR</v>
      </c>
      <c r="F61" s="44" t="str">
        <f t="shared" si="20"/>
        <v>NTGR</v>
      </c>
      <c r="G61" s="44">
        <f t="shared" si="20"/>
        <v>0</v>
      </c>
      <c r="H61" s="44">
        <f t="shared" si="20"/>
        <v>0</v>
      </c>
      <c r="I61" s="44">
        <f t="shared" si="20"/>
        <v>0</v>
      </c>
      <c r="J61" s="44">
        <f t="shared" si="20"/>
        <v>0</v>
      </c>
      <c r="K61" s="44">
        <f t="shared" si="20"/>
        <v>0</v>
      </c>
      <c r="L61" s="44">
        <f t="shared" si="20"/>
        <v>0</v>
      </c>
    </row>
    <row r="62" spans="1:12">
      <c r="A62" s="15" t="s">
        <v>12</v>
      </c>
      <c r="B62" s="15"/>
      <c r="C62" s="14">
        <v>244.667</v>
      </c>
      <c r="D62" s="14">
        <v>1094.1199999999999</v>
      </c>
      <c r="E62" s="14">
        <v>1101.6120000000001</v>
      </c>
      <c r="F62" s="14">
        <v>278.82299999999998</v>
      </c>
      <c r="G62" s="14"/>
      <c r="H62" s="14"/>
      <c r="I62" s="14"/>
      <c r="J62" s="14"/>
      <c r="K62" s="14"/>
      <c r="L62" s="14"/>
    </row>
    <row r="63" spans="1:12">
      <c r="A63" s="62" t="s">
        <v>13</v>
      </c>
      <c r="C63" s="5">
        <v>-113.28700000000001</v>
      </c>
      <c r="D63" s="5">
        <v>-444.62799999999999</v>
      </c>
      <c r="E63" s="5">
        <v>-365.72699999999998</v>
      </c>
      <c r="F63" s="5">
        <v>-191.03700000000001</v>
      </c>
      <c r="G63" s="5"/>
      <c r="H63" s="5"/>
      <c r="I63" s="5"/>
      <c r="J63" s="5"/>
      <c r="K63" s="5"/>
      <c r="L63" s="5"/>
    </row>
    <row r="64" spans="1:12">
      <c r="A64" s="15" t="s">
        <v>123</v>
      </c>
      <c r="B64" s="15"/>
      <c r="C64" s="29">
        <f t="shared" ref="C64:L64" si="21">SUM(C62:C63)</f>
        <v>131.38</v>
      </c>
      <c r="D64" s="29">
        <f t="shared" si="21"/>
        <v>649.49199999999996</v>
      </c>
      <c r="E64" s="29">
        <f t="shared" si="21"/>
        <v>735.8850000000001</v>
      </c>
      <c r="F64" s="29">
        <f t="shared" si="21"/>
        <v>87.785999999999973</v>
      </c>
      <c r="G64" s="29">
        <f t="shared" si="21"/>
        <v>0</v>
      </c>
      <c r="H64" s="29">
        <f t="shared" si="21"/>
        <v>0</v>
      </c>
      <c r="I64" s="29">
        <f t="shared" si="21"/>
        <v>0</v>
      </c>
      <c r="J64" s="29">
        <f t="shared" si="21"/>
        <v>0</v>
      </c>
      <c r="K64" s="29">
        <f t="shared" si="21"/>
        <v>0</v>
      </c>
      <c r="L64" s="29">
        <f t="shared" si="21"/>
        <v>0</v>
      </c>
    </row>
    <row r="65" spans="1:12">
      <c r="A65" s="49" t="s">
        <v>14</v>
      </c>
      <c r="C65" s="9">
        <f>-(74.823+18.614)</f>
        <v>-93.436999999999998</v>
      </c>
      <c r="D65" s="9">
        <f>-(309.646+36.559)</f>
        <v>-346.20500000000004</v>
      </c>
      <c r="E65" s="9">
        <f>-(246.291+44.924)</f>
        <v>-291.21499999999997</v>
      </c>
      <c r="F65" s="9">
        <f>-(36.648+9.645)</f>
        <v>-46.293000000000006</v>
      </c>
      <c r="G65" s="9"/>
      <c r="H65" s="9"/>
      <c r="I65" s="9"/>
      <c r="J65" s="9"/>
      <c r="K65" s="9"/>
      <c r="L65" s="9"/>
    </row>
    <row r="66" spans="1:12">
      <c r="A66" s="49" t="s">
        <v>17</v>
      </c>
      <c r="C66" s="5">
        <f>-(36.126+1.043-4.249)</f>
        <v>-32.919999999999995</v>
      </c>
      <c r="D66" s="5">
        <f>-(183.349+0.124+31.213)</f>
        <v>-214.68599999999998</v>
      </c>
      <c r="E66" s="5">
        <f>-(261.979+1.544-0.347+4.101)</f>
        <v>-267.27699999999999</v>
      </c>
      <c r="F66" s="5">
        <f>-(11.014-0.053)</f>
        <v>-10.960999999999999</v>
      </c>
      <c r="G66" s="5"/>
      <c r="H66" s="5"/>
      <c r="I66" s="5"/>
      <c r="J66" s="5"/>
      <c r="K66" s="5"/>
      <c r="L66" s="5"/>
    </row>
    <row r="67" spans="1:12">
      <c r="A67" s="16" t="s">
        <v>15</v>
      </c>
      <c r="B67" s="16"/>
      <c r="C67" s="38">
        <f t="shared" ref="C67:L67" si="22">SUM(C64:C66)</f>
        <v>5.0230000000000032</v>
      </c>
      <c r="D67" s="38">
        <f t="shared" si="22"/>
        <v>88.600999999999942</v>
      </c>
      <c r="E67" s="38">
        <f t="shared" si="22"/>
        <v>177.39300000000014</v>
      </c>
      <c r="F67" s="39">
        <f t="shared" si="22"/>
        <v>30.531999999999968</v>
      </c>
      <c r="G67" s="39">
        <f t="shared" si="22"/>
        <v>0</v>
      </c>
      <c r="H67" s="39">
        <f t="shared" si="22"/>
        <v>0</v>
      </c>
      <c r="I67" s="39">
        <f t="shared" si="22"/>
        <v>0</v>
      </c>
      <c r="J67" s="39">
        <f t="shared" si="22"/>
        <v>0</v>
      </c>
      <c r="K67" s="39">
        <f t="shared" si="22"/>
        <v>0</v>
      </c>
      <c r="L67" s="39">
        <f t="shared" si="22"/>
        <v>0</v>
      </c>
    </row>
    <row r="68" spans="1:12">
      <c r="A68" s="48" t="s">
        <v>16</v>
      </c>
      <c r="B68" s="15"/>
      <c r="C68" s="14">
        <v>-9.5000000000000001E-2</v>
      </c>
      <c r="D68" s="14">
        <v>-42.290999999999997</v>
      </c>
      <c r="E68" s="14">
        <v>-6.4619999999999997</v>
      </c>
      <c r="F68" s="14">
        <v>0</v>
      </c>
      <c r="G68" s="14"/>
      <c r="H68" s="14"/>
      <c r="I68" s="14"/>
      <c r="J68" s="14"/>
      <c r="K68" s="14"/>
      <c r="L68" s="14"/>
    </row>
    <row r="69" spans="1:12">
      <c r="A69" s="48" t="s">
        <v>19</v>
      </c>
      <c r="B69" s="15"/>
      <c r="C69" s="10">
        <v>0.95899999999999996</v>
      </c>
      <c r="D69" s="10">
        <v>0.35899999999999999</v>
      </c>
      <c r="E69" s="10">
        <v>2.4</v>
      </c>
      <c r="F69" s="10">
        <v>0.129</v>
      </c>
      <c r="G69" s="10"/>
      <c r="H69" s="10"/>
      <c r="I69" s="10"/>
      <c r="J69" s="10"/>
      <c r="K69" s="10"/>
      <c r="L69" s="10"/>
    </row>
    <row r="70" spans="1:12">
      <c r="A70" s="48" t="s">
        <v>18</v>
      </c>
      <c r="B70" s="15"/>
      <c r="C70" s="10">
        <v>-0.32</v>
      </c>
      <c r="D70" s="10"/>
      <c r="E70" s="10">
        <v>-2.4</v>
      </c>
      <c r="F70" s="10">
        <v>-0.33</v>
      </c>
      <c r="G70" s="10"/>
      <c r="H70" s="10"/>
      <c r="I70" s="10"/>
      <c r="J70" s="10"/>
      <c r="K70" s="10"/>
      <c r="L70" s="10"/>
    </row>
    <row r="71" spans="1:12">
      <c r="A71" s="15" t="s">
        <v>66</v>
      </c>
      <c r="B71" s="15"/>
      <c r="C71" s="29">
        <f t="shared" ref="C71:L71" si="23">SUM(C67:C70)</f>
        <v>5.5670000000000028</v>
      </c>
      <c r="D71" s="29">
        <f t="shared" si="23"/>
        <v>46.668999999999947</v>
      </c>
      <c r="E71" s="29">
        <f t="shared" si="23"/>
        <v>170.93100000000015</v>
      </c>
      <c r="F71" s="29">
        <f t="shared" si="23"/>
        <v>30.330999999999971</v>
      </c>
      <c r="G71" s="29">
        <f t="shared" si="23"/>
        <v>0</v>
      </c>
      <c r="H71" s="29">
        <f t="shared" si="23"/>
        <v>0</v>
      </c>
      <c r="I71" s="29">
        <f t="shared" si="23"/>
        <v>0</v>
      </c>
      <c r="J71" s="29">
        <f t="shared" si="23"/>
        <v>0</v>
      </c>
      <c r="K71" s="29">
        <f t="shared" si="23"/>
        <v>0</v>
      </c>
      <c r="L71" s="29">
        <f t="shared" si="23"/>
        <v>0</v>
      </c>
    </row>
    <row r="72" spans="1:12">
      <c r="A72" s="49" t="s">
        <v>60</v>
      </c>
      <c r="B72" s="15"/>
      <c r="C72" s="14">
        <v>-0.76700000000000002</v>
      </c>
      <c r="D72" s="14">
        <v>6.3280000000000003</v>
      </c>
      <c r="E72" s="14">
        <v>-41.271000000000001</v>
      </c>
      <c r="F72" s="14">
        <v>-9.1419999999999995</v>
      </c>
      <c r="G72" s="14"/>
      <c r="H72" s="14"/>
      <c r="I72" s="14"/>
      <c r="J72" s="14"/>
      <c r="K72" s="14"/>
      <c r="L72" s="14"/>
    </row>
    <row r="73" spans="1:12">
      <c r="A73" s="15" t="s">
        <v>124</v>
      </c>
      <c r="B73" s="15"/>
      <c r="C73" s="29">
        <f t="shared" ref="C73:L73" si="24">SUM(C71:C72)</f>
        <v>4.8000000000000025</v>
      </c>
      <c r="D73" s="29">
        <f t="shared" si="24"/>
        <v>52.99699999999995</v>
      </c>
      <c r="E73" s="29">
        <f t="shared" si="24"/>
        <v>129.66000000000014</v>
      </c>
      <c r="F73" s="29">
        <f t="shared" si="24"/>
        <v>21.188999999999972</v>
      </c>
      <c r="G73" s="29">
        <f t="shared" si="24"/>
        <v>0</v>
      </c>
      <c r="H73" s="29">
        <f t="shared" si="24"/>
        <v>0</v>
      </c>
      <c r="I73" s="29">
        <f t="shared" si="24"/>
        <v>0</v>
      </c>
      <c r="J73" s="29">
        <f t="shared" si="24"/>
        <v>0</v>
      </c>
      <c r="K73" s="29">
        <f t="shared" si="24"/>
        <v>0</v>
      </c>
      <c r="L73" s="29">
        <f t="shared" si="24"/>
        <v>0</v>
      </c>
    </row>
    <row r="74" spans="1:12">
      <c r="A74" s="16" t="s">
        <v>70</v>
      </c>
      <c r="B74" s="15"/>
      <c r="C74" s="69">
        <v>5.1877310161468154E-2</v>
      </c>
      <c r="D74" s="69">
        <v>0.10677602762633517</v>
      </c>
      <c r="E74" s="69">
        <v>0.23625017081947822</v>
      </c>
      <c r="F74" s="69">
        <v>0.56746116764863341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</row>
    <row r="75" spans="1:12">
      <c r="A75" s="16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>
      <c r="A76" s="70" t="s">
        <v>71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>
      <c r="A77" s="63" t="s">
        <v>21</v>
      </c>
      <c r="B77" s="15"/>
      <c r="C77" s="10">
        <f>-(4.972+1.555)</f>
        <v>-6.5270000000000001</v>
      </c>
      <c r="D77" s="10">
        <v>-104.233</v>
      </c>
      <c r="E77" s="10">
        <v>-40.758000000000003</v>
      </c>
      <c r="F77" s="10">
        <v>-3.7069999999999999</v>
      </c>
      <c r="G77" s="10"/>
      <c r="H77" s="10"/>
      <c r="I77" s="10"/>
      <c r="J77" s="10"/>
      <c r="K77" s="10"/>
      <c r="L77" s="10"/>
    </row>
    <row r="78" spans="1:12">
      <c r="A78" s="16" t="s">
        <v>20</v>
      </c>
      <c r="B78" s="15"/>
      <c r="C78" s="38">
        <f t="shared" ref="C78:L78" si="25">C67-C77</f>
        <v>11.550000000000004</v>
      </c>
      <c r="D78" s="38">
        <f t="shared" si="25"/>
        <v>192.83399999999995</v>
      </c>
      <c r="E78" s="38">
        <f t="shared" si="25"/>
        <v>218.15100000000015</v>
      </c>
      <c r="F78" s="39">
        <f t="shared" si="25"/>
        <v>34.238999999999969</v>
      </c>
      <c r="G78" s="39">
        <f t="shared" si="25"/>
        <v>0</v>
      </c>
      <c r="H78" s="39">
        <f t="shared" si="25"/>
        <v>0</v>
      </c>
      <c r="I78" s="39">
        <f t="shared" si="25"/>
        <v>0</v>
      </c>
      <c r="J78" s="39">
        <f t="shared" si="25"/>
        <v>0</v>
      </c>
      <c r="K78" s="39">
        <f t="shared" si="25"/>
        <v>0</v>
      </c>
      <c r="L78" s="39">
        <f t="shared" si="25"/>
        <v>0</v>
      </c>
    </row>
    <row r="79" spans="1:1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>
      <c r="A80" s="50" t="s">
        <v>69</v>
      </c>
      <c r="B80" s="64"/>
      <c r="C80" s="44" t="str">
        <f>C$7</f>
        <v>EXTR</v>
      </c>
      <c r="D80" s="44" t="str">
        <f t="shared" ref="D80:L80" si="26">D$7</f>
        <v>BRCD</v>
      </c>
      <c r="E80" s="44" t="str">
        <f t="shared" si="26"/>
        <v>JNPR</v>
      </c>
      <c r="F80" s="44" t="str">
        <f t="shared" si="26"/>
        <v>NTGR</v>
      </c>
      <c r="G80" s="44">
        <f t="shared" si="26"/>
        <v>0</v>
      </c>
      <c r="H80" s="44">
        <f t="shared" si="26"/>
        <v>0</v>
      </c>
      <c r="I80" s="44">
        <f t="shared" si="26"/>
        <v>0</v>
      </c>
      <c r="J80" s="44">
        <f t="shared" si="26"/>
        <v>0</v>
      </c>
      <c r="K80" s="44">
        <f t="shared" si="26"/>
        <v>0</v>
      </c>
      <c r="L80" s="44">
        <f t="shared" si="26"/>
        <v>0</v>
      </c>
    </row>
    <row r="81" spans="1:12">
      <c r="A81" s="17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75" t="s">
        <v>77</v>
      </c>
      <c r="B82" s="76"/>
      <c r="C82" s="77">
        <v>41000</v>
      </c>
      <c r="D82" s="77">
        <v>41027</v>
      </c>
      <c r="E82" s="77">
        <v>40999</v>
      </c>
      <c r="F82" s="77">
        <v>41000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</row>
    <row r="83" spans="1:12">
      <c r="A83" s="19" t="s">
        <v>78</v>
      </c>
      <c r="C83" s="57">
        <f t="shared" ref="C83:L83" si="27">C24+C43-C62</f>
        <v>324.83499999999992</v>
      </c>
      <c r="D83" s="57">
        <f t="shared" si="27"/>
        <v>2157.4030000000002</v>
      </c>
      <c r="E83" s="57">
        <f t="shared" si="27"/>
        <v>4379.5950000000003</v>
      </c>
      <c r="F83" s="57">
        <f t="shared" si="27"/>
        <v>1227.8150000000001</v>
      </c>
      <c r="G83" s="57">
        <f t="shared" si="27"/>
        <v>0</v>
      </c>
      <c r="H83" s="57">
        <f t="shared" si="27"/>
        <v>0</v>
      </c>
      <c r="I83" s="57">
        <f t="shared" si="27"/>
        <v>0</v>
      </c>
      <c r="J83" s="57">
        <f t="shared" si="27"/>
        <v>0</v>
      </c>
      <c r="K83" s="57">
        <f t="shared" si="27"/>
        <v>0</v>
      </c>
      <c r="L83" s="57">
        <f t="shared" si="27"/>
        <v>0</v>
      </c>
    </row>
    <row r="84" spans="1:12">
      <c r="A84" s="15" t="s">
        <v>79</v>
      </c>
      <c r="C84" s="65">
        <f t="shared" ref="C84:L84" si="28">C40+C59-C78</f>
        <v>12.459999999999994</v>
      </c>
      <c r="D84" s="65">
        <f t="shared" si="28"/>
        <v>409.75</v>
      </c>
      <c r="E84" s="65">
        <f t="shared" si="28"/>
        <v>661.51600000000008</v>
      </c>
      <c r="F84" s="65">
        <f t="shared" si="28"/>
        <v>145.16800000000006</v>
      </c>
      <c r="G84" s="65">
        <f t="shared" si="28"/>
        <v>0</v>
      </c>
      <c r="H84" s="65">
        <f t="shared" si="28"/>
        <v>0</v>
      </c>
      <c r="I84" s="65">
        <f t="shared" si="28"/>
        <v>0</v>
      </c>
      <c r="J84" s="65">
        <f t="shared" si="28"/>
        <v>0</v>
      </c>
      <c r="K84" s="65">
        <f t="shared" si="28"/>
        <v>0</v>
      </c>
      <c r="L84" s="65">
        <f t="shared" si="28"/>
        <v>0</v>
      </c>
    </row>
    <row r="85" spans="1:12">
      <c r="A85" s="15" t="s">
        <v>80</v>
      </c>
      <c r="C85" s="65">
        <f t="shared" ref="C85:L85" si="29">C29+C48-C67</f>
        <v>6.7739999999999938</v>
      </c>
      <c r="D85" s="65">
        <f t="shared" si="29"/>
        <v>210.10700000000003</v>
      </c>
      <c r="E85" s="65">
        <f t="shared" si="29"/>
        <v>488.84000000000003</v>
      </c>
      <c r="F85" s="65">
        <f t="shared" si="29"/>
        <v>130.53100000000006</v>
      </c>
      <c r="G85" s="65">
        <f t="shared" si="29"/>
        <v>0</v>
      </c>
      <c r="H85" s="65">
        <f t="shared" si="29"/>
        <v>0</v>
      </c>
      <c r="I85" s="65">
        <f t="shared" si="29"/>
        <v>0</v>
      </c>
      <c r="J85" s="65">
        <f t="shared" si="29"/>
        <v>0</v>
      </c>
      <c r="K85" s="65">
        <f t="shared" si="29"/>
        <v>0</v>
      </c>
      <c r="L85" s="65">
        <f t="shared" si="29"/>
        <v>0</v>
      </c>
    </row>
    <row r="86" spans="1:12">
      <c r="A86" s="17" t="s">
        <v>81</v>
      </c>
      <c r="C86" s="71">
        <f>C36+C55-C74</f>
        <v>6.484193818745676E-2</v>
      </c>
      <c r="D86" s="71">
        <f t="shared" ref="D86:L86" si="30">D36+D55-D74</f>
        <v>0.20207387362833992</v>
      </c>
      <c r="E86" s="71">
        <f t="shared" si="30"/>
        <v>0.57930831736607535</v>
      </c>
      <c r="F86" s="71">
        <f t="shared" si="30"/>
        <v>2.4931522456312956</v>
      </c>
      <c r="G86" s="71">
        <f t="shared" si="30"/>
        <v>0</v>
      </c>
      <c r="H86" s="71">
        <f t="shared" si="30"/>
        <v>0</v>
      </c>
      <c r="I86" s="71">
        <f t="shared" si="30"/>
        <v>0</v>
      </c>
      <c r="J86" s="71">
        <f t="shared" si="30"/>
        <v>0</v>
      </c>
      <c r="K86" s="71">
        <f t="shared" si="30"/>
        <v>0</v>
      </c>
      <c r="L86" s="71">
        <f t="shared" si="30"/>
        <v>0</v>
      </c>
    </row>
    <row r="88" spans="1:12">
      <c r="A88" s="50" t="s">
        <v>11</v>
      </c>
      <c r="B88" s="64"/>
      <c r="C88" s="44" t="str">
        <f>C$7</f>
        <v>EXTR</v>
      </c>
      <c r="D88" s="44" t="str">
        <f t="shared" ref="D88:L88" si="31">D$7</f>
        <v>BRCD</v>
      </c>
      <c r="E88" s="44" t="str">
        <f t="shared" si="31"/>
        <v>JNPR</v>
      </c>
      <c r="F88" s="44" t="str">
        <f t="shared" si="31"/>
        <v>NTGR</v>
      </c>
      <c r="G88" s="44">
        <f t="shared" si="31"/>
        <v>0</v>
      </c>
      <c r="H88" s="44">
        <f t="shared" si="31"/>
        <v>0</v>
      </c>
      <c r="I88" s="44">
        <f t="shared" si="31"/>
        <v>0</v>
      </c>
      <c r="J88" s="44">
        <f t="shared" si="31"/>
        <v>0</v>
      </c>
      <c r="K88" s="44">
        <f t="shared" si="31"/>
        <v>0</v>
      </c>
      <c r="L88" s="44">
        <f t="shared" si="31"/>
        <v>0</v>
      </c>
    </row>
    <row r="89" spans="1:12">
      <c r="A89" s="17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75" t="s">
        <v>76</v>
      </c>
      <c r="B90" s="76"/>
      <c r="C90" s="77">
        <f>C9</f>
        <v>40727</v>
      </c>
      <c r="D90" s="77">
        <f>D9</f>
        <v>40845</v>
      </c>
      <c r="E90" s="77">
        <f>E9</f>
        <v>40908</v>
      </c>
      <c r="F90" s="77">
        <f>F9</f>
        <v>40908</v>
      </c>
      <c r="G90" s="77">
        <f t="shared" ref="G90:L90" si="32">G9</f>
        <v>0</v>
      </c>
      <c r="H90" s="77">
        <f t="shared" si="32"/>
        <v>0</v>
      </c>
      <c r="I90" s="77">
        <f t="shared" si="32"/>
        <v>0</v>
      </c>
      <c r="J90" s="77">
        <f t="shared" si="32"/>
        <v>0</v>
      </c>
      <c r="K90" s="77">
        <f t="shared" si="32"/>
        <v>0</v>
      </c>
      <c r="L90" s="77">
        <f t="shared" si="32"/>
        <v>0</v>
      </c>
    </row>
    <row r="91" spans="1:12">
      <c r="A91" s="19" t="s">
        <v>39</v>
      </c>
      <c r="C91" s="53">
        <f>C24</f>
        <v>334.428</v>
      </c>
      <c r="D91" s="53">
        <f>D24</f>
        <v>2147.442</v>
      </c>
      <c r="E91" s="53">
        <f>E24</f>
        <v>4448.7089999999998</v>
      </c>
      <c r="F91" s="53">
        <f>F24</f>
        <v>1181.018</v>
      </c>
      <c r="G91" s="53">
        <f t="shared" ref="G91:L91" si="33">G24</f>
        <v>0</v>
      </c>
      <c r="H91" s="53">
        <f t="shared" si="33"/>
        <v>0</v>
      </c>
      <c r="I91" s="53">
        <f t="shared" si="33"/>
        <v>0</v>
      </c>
      <c r="J91" s="53">
        <f t="shared" si="33"/>
        <v>0</v>
      </c>
      <c r="K91" s="53">
        <f t="shared" si="33"/>
        <v>0</v>
      </c>
      <c r="L91" s="53">
        <f t="shared" si="33"/>
        <v>0</v>
      </c>
    </row>
    <row r="92" spans="1:12">
      <c r="A92" s="19" t="s">
        <v>38</v>
      </c>
      <c r="C92" s="65">
        <f>C40</f>
        <v>10.104999999999983</v>
      </c>
      <c r="D92" s="65">
        <f>D40</f>
        <v>383.87200000000007</v>
      </c>
      <c r="E92" s="65">
        <f>E40</f>
        <v>788.56200000000013</v>
      </c>
      <c r="F92" s="65">
        <f>F40</f>
        <v>139.60400000000001</v>
      </c>
      <c r="G92" s="65">
        <f t="shared" ref="G92:L92" si="34">G40</f>
        <v>0</v>
      </c>
      <c r="H92" s="65">
        <f t="shared" si="34"/>
        <v>0</v>
      </c>
      <c r="I92" s="65">
        <f t="shared" si="34"/>
        <v>0</v>
      </c>
      <c r="J92" s="65">
        <f t="shared" si="34"/>
        <v>0</v>
      </c>
      <c r="K92" s="65">
        <f t="shared" si="34"/>
        <v>0</v>
      </c>
      <c r="L92" s="65">
        <f t="shared" si="34"/>
        <v>0</v>
      </c>
    </row>
    <row r="93" spans="1:12">
      <c r="A93" s="19" t="s">
        <v>37</v>
      </c>
      <c r="C93" s="65">
        <f>C29</f>
        <v>3.2939999999999827</v>
      </c>
      <c r="D93" s="65">
        <f>D29</f>
        <v>177.5200000000001</v>
      </c>
      <c r="E93" s="65">
        <f>E29</f>
        <v>618.52400000000011</v>
      </c>
      <c r="F93" s="65">
        <f>F29</f>
        <v>124.86900000000001</v>
      </c>
      <c r="G93" s="65">
        <f t="shared" ref="G93:L93" si="35">G29</f>
        <v>0</v>
      </c>
      <c r="H93" s="65">
        <f t="shared" si="35"/>
        <v>0</v>
      </c>
      <c r="I93" s="65">
        <f t="shared" si="35"/>
        <v>0</v>
      </c>
      <c r="J93" s="65">
        <f t="shared" si="35"/>
        <v>0</v>
      </c>
      <c r="K93" s="65">
        <f t="shared" si="35"/>
        <v>0</v>
      </c>
      <c r="L93" s="65">
        <f t="shared" si="35"/>
        <v>0</v>
      </c>
    </row>
    <row r="94" spans="1:12">
      <c r="A94" s="19" t="s">
        <v>36</v>
      </c>
      <c r="C94" s="66">
        <f>C36</f>
        <v>3.1176248720297239E-2</v>
      </c>
      <c r="D94" s="66">
        <f>D36</f>
        <v>0.10182483954690887</v>
      </c>
      <c r="E94" s="66">
        <f>E36</f>
        <v>0.78501413882460314</v>
      </c>
      <c r="F94" s="66">
        <f>F36</f>
        <v>2.4087314141094596</v>
      </c>
      <c r="G94" s="66">
        <f t="shared" ref="G94:L94" si="36">G36</f>
        <v>0</v>
      </c>
      <c r="H94" s="66">
        <f t="shared" si="36"/>
        <v>0</v>
      </c>
      <c r="I94" s="66">
        <f t="shared" si="36"/>
        <v>0</v>
      </c>
      <c r="J94" s="66">
        <f t="shared" si="36"/>
        <v>0</v>
      </c>
      <c r="K94" s="66">
        <f t="shared" si="36"/>
        <v>0</v>
      </c>
      <c r="L94" s="66">
        <f t="shared" si="36"/>
        <v>0</v>
      </c>
    </row>
    <row r="95" spans="1:12"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1:12">
      <c r="A96" s="50" t="s">
        <v>72</v>
      </c>
      <c r="B96" s="64"/>
      <c r="C96" s="44" t="str">
        <f>C$7</f>
        <v>EXTR</v>
      </c>
      <c r="D96" s="44" t="str">
        <f t="shared" ref="D96:L96" si="37">D$7</f>
        <v>BRCD</v>
      </c>
      <c r="E96" s="44" t="str">
        <f t="shared" si="37"/>
        <v>JNPR</v>
      </c>
      <c r="F96" s="44" t="str">
        <f t="shared" si="37"/>
        <v>NTGR</v>
      </c>
      <c r="G96" s="44">
        <f t="shared" si="37"/>
        <v>0</v>
      </c>
      <c r="H96" s="44">
        <f t="shared" si="37"/>
        <v>0</v>
      </c>
      <c r="I96" s="44">
        <f t="shared" si="37"/>
        <v>0</v>
      </c>
      <c r="J96" s="44">
        <f t="shared" si="37"/>
        <v>0</v>
      </c>
      <c r="K96" s="44">
        <f t="shared" si="37"/>
        <v>0</v>
      </c>
      <c r="L96" s="44">
        <f t="shared" si="37"/>
        <v>0</v>
      </c>
    </row>
    <row r="97" spans="1:19">
      <c r="C97" s="78"/>
      <c r="D97" s="20"/>
      <c r="E97" s="20"/>
      <c r="F97" s="20"/>
      <c r="G97" s="20"/>
      <c r="H97" s="20"/>
      <c r="I97" s="20"/>
      <c r="J97" s="20"/>
      <c r="K97" s="20"/>
      <c r="L97" s="20"/>
    </row>
    <row r="98" spans="1:19">
      <c r="A98" s="75" t="s">
        <v>76</v>
      </c>
      <c r="B98" s="76"/>
      <c r="C98" s="79">
        <f>DATE(YEAR(C11),12,31)</f>
        <v>41274</v>
      </c>
      <c r="D98" s="79">
        <f t="shared" ref="D98:L98" si="38">C98</f>
        <v>41274</v>
      </c>
      <c r="E98" s="79">
        <f t="shared" si="38"/>
        <v>41274</v>
      </c>
      <c r="F98" s="79">
        <f t="shared" si="38"/>
        <v>41274</v>
      </c>
      <c r="G98" s="79">
        <f t="shared" si="38"/>
        <v>41274</v>
      </c>
      <c r="H98" s="79">
        <f t="shared" si="38"/>
        <v>41274</v>
      </c>
      <c r="I98" s="79">
        <f t="shared" si="38"/>
        <v>41274</v>
      </c>
      <c r="J98" s="79">
        <f t="shared" si="38"/>
        <v>41274</v>
      </c>
      <c r="K98" s="79">
        <f t="shared" si="38"/>
        <v>41274</v>
      </c>
      <c r="L98" s="79">
        <f t="shared" si="38"/>
        <v>41274</v>
      </c>
    </row>
    <row r="99" spans="1:19">
      <c r="A99" s="19" t="s">
        <v>83</v>
      </c>
      <c r="C99" s="80">
        <v>320.63</v>
      </c>
      <c r="D99" s="81">
        <v>2211</v>
      </c>
      <c r="E99" s="81">
        <v>4409.7</v>
      </c>
      <c r="F99" s="81">
        <v>1362.35</v>
      </c>
      <c r="G99" s="81"/>
      <c r="H99" s="81"/>
      <c r="I99" s="81"/>
      <c r="J99" s="81"/>
      <c r="K99" s="81"/>
      <c r="L99" s="81"/>
      <c r="N99" s="35"/>
      <c r="O99" s="35"/>
      <c r="P99" s="35"/>
      <c r="Q99" s="35"/>
      <c r="R99" s="35"/>
      <c r="S99" s="35"/>
    </row>
    <row r="100" spans="1:19">
      <c r="A100" s="15" t="s">
        <v>84</v>
      </c>
      <c r="C100" s="5">
        <f>C101+5.62</f>
        <v>28.466000000000001</v>
      </c>
      <c r="D100" s="5">
        <f>D101+194.1</f>
        <v>607.1</v>
      </c>
      <c r="E100" s="5">
        <f>E101+174</f>
        <v>861.8</v>
      </c>
      <c r="F100" s="5">
        <v>167.94</v>
      </c>
      <c r="G100" s="5"/>
      <c r="H100" s="5"/>
      <c r="I100" s="5"/>
      <c r="J100" s="5"/>
      <c r="K100" s="5"/>
      <c r="L100" s="5"/>
      <c r="N100" s="35"/>
      <c r="O100" s="35"/>
      <c r="P100" s="35"/>
      <c r="Q100" s="35"/>
      <c r="R100" s="35"/>
      <c r="S100" s="35"/>
    </row>
    <row r="101" spans="1:19">
      <c r="A101" s="15" t="s">
        <v>85</v>
      </c>
      <c r="C101" s="5">
        <v>22.846</v>
      </c>
      <c r="D101" s="5">
        <v>413</v>
      </c>
      <c r="E101" s="5">
        <v>687.8</v>
      </c>
      <c r="F101" s="5">
        <v>164.12899999999999</v>
      </c>
      <c r="G101" s="5"/>
      <c r="H101" s="5"/>
      <c r="I101" s="5"/>
      <c r="J101" s="5"/>
      <c r="K101" s="5"/>
      <c r="L101" s="5"/>
      <c r="N101" s="35"/>
      <c r="O101" s="35"/>
      <c r="P101" s="35"/>
      <c r="Q101" s="35"/>
      <c r="R101" s="35"/>
      <c r="S101" s="35"/>
    </row>
    <row r="102" spans="1:19">
      <c r="A102" s="17" t="s">
        <v>86</v>
      </c>
      <c r="C102" s="7">
        <v>0.23</v>
      </c>
      <c r="D102" s="7">
        <v>0.6</v>
      </c>
      <c r="E102" s="7">
        <v>0.87</v>
      </c>
      <c r="F102" s="7">
        <v>2.89</v>
      </c>
      <c r="G102" s="7"/>
      <c r="H102" s="7"/>
      <c r="I102" s="7"/>
      <c r="J102" s="7"/>
      <c r="K102" s="7"/>
      <c r="L102" s="7"/>
      <c r="N102" s="35"/>
      <c r="O102" s="35"/>
      <c r="P102" s="35"/>
      <c r="Q102" s="35"/>
      <c r="R102" s="35"/>
      <c r="S102" s="35"/>
    </row>
    <row r="103" spans="1:19">
      <c r="A103" s="72" t="s">
        <v>75</v>
      </c>
      <c r="B103" s="73"/>
      <c r="C103" s="74" t="s">
        <v>74</v>
      </c>
      <c r="D103" s="74" t="s">
        <v>74</v>
      </c>
      <c r="E103" s="74" t="s">
        <v>74</v>
      </c>
      <c r="F103" s="74" t="s">
        <v>74</v>
      </c>
      <c r="G103" s="74"/>
      <c r="H103" s="74"/>
      <c r="I103" s="74"/>
      <c r="J103" s="74"/>
      <c r="K103" s="74"/>
      <c r="L103" s="74"/>
    </row>
    <row r="104" spans="1:19">
      <c r="A104" s="17"/>
    </row>
    <row r="105" spans="1:19">
      <c r="A105" s="50" t="s">
        <v>73</v>
      </c>
      <c r="B105" s="64"/>
      <c r="C105" s="44" t="str">
        <f>C$7</f>
        <v>EXTR</v>
      </c>
      <c r="D105" s="44" t="str">
        <f t="shared" ref="D105:L105" si="39">D$7</f>
        <v>BRCD</v>
      </c>
      <c r="E105" s="44" t="str">
        <f t="shared" si="39"/>
        <v>JNPR</v>
      </c>
      <c r="F105" s="44" t="str">
        <f t="shared" si="39"/>
        <v>NTGR</v>
      </c>
      <c r="G105" s="44">
        <f t="shared" si="39"/>
        <v>0</v>
      </c>
      <c r="H105" s="44">
        <f t="shared" si="39"/>
        <v>0</v>
      </c>
      <c r="I105" s="44">
        <f t="shared" si="39"/>
        <v>0</v>
      </c>
      <c r="J105" s="44">
        <f t="shared" si="39"/>
        <v>0</v>
      </c>
      <c r="K105" s="44">
        <f t="shared" si="39"/>
        <v>0</v>
      </c>
      <c r="L105" s="44">
        <f t="shared" si="39"/>
        <v>0</v>
      </c>
    </row>
    <row r="106" spans="1:19">
      <c r="C106" s="67"/>
      <c r="D106" s="67"/>
    </row>
    <row r="107" spans="1:19">
      <c r="A107" s="75" t="s">
        <v>76</v>
      </c>
      <c r="B107" s="76"/>
      <c r="C107" s="79">
        <f t="shared" ref="C107:L107" si="40">EOMONTH(C98,12)</f>
        <v>41639</v>
      </c>
      <c r="D107" s="79">
        <f t="shared" si="40"/>
        <v>41639</v>
      </c>
      <c r="E107" s="79">
        <f t="shared" si="40"/>
        <v>41639</v>
      </c>
      <c r="F107" s="79">
        <f t="shared" si="40"/>
        <v>41639</v>
      </c>
      <c r="G107" s="79">
        <f t="shared" si="40"/>
        <v>41639</v>
      </c>
      <c r="H107" s="79">
        <f t="shared" si="40"/>
        <v>41639</v>
      </c>
      <c r="I107" s="79">
        <f t="shared" si="40"/>
        <v>41639</v>
      </c>
      <c r="J107" s="79">
        <f t="shared" si="40"/>
        <v>41639</v>
      </c>
      <c r="K107" s="79">
        <f t="shared" si="40"/>
        <v>41639</v>
      </c>
      <c r="L107" s="79">
        <f t="shared" si="40"/>
        <v>41639</v>
      </c>
    </row>
    <row r="108" spans="1:19">
      <c r="A108" s="19" t="s">
        <v>87</v>
      </c>
      <c r="C108" s="80">
        <v>337.50799999999998</v>
      </c>
      <c r="D108" s="80">
        <v>2288</v>
      </c>
      <c r="E108" s="80">
        <v>4899.3</v>
      </c>
      <c r="F108" s="80">
        <v>1557.18</v>
      </c>
      <c r="G108" s="80"/>
      <c r="H108" s="80"/>
      <c r="I108" s="80"/>
      <c r="J108" s="80"/>
      <c r="K108" s="80"/>
      <c r="L108" s="80"/>
      <c r="N108" s="35"/>
      <c r="O108" s="35"/>
      <c r="P108" s="35"/>
      <c r="Q108" s="35"/>
    </row>
    <row r="109" spans="1:19">
      <c r="A109" s="15" t="s">
        <v>88</v>
      </c>
      <c r="C109" s="5">
        <f>C110+7.338</f>
        <v>37.72</v>
      </c>
      <c r="D109" s="5">
        <f>D110+199.6</f>
        <v>611.6</v>
      </c>
      <c r="E109" s="5">
        <f>E110+174</f>
        <v>1129</v>
      </c>
      <c r="F109" s="5">
        <v>190.19</v>
      </c>
      <c r="G109" s="5"/>
      <c r="H109" s="5"/>
      <c r="I109" s="5"/>
      <c r="J109" s="5"/>
      <c r="K109" s="5"/>
      <c r="L109" s="5"/>
      <c r="N109" s="35"/>
      <c r="O109" s="35"/>
      <c r="P109" s="35"/>
      <c r="Q109" s="35"/>
    </row>
    <row r="110" spans="1:19">
      <c r="A110" s="15" t="s">
        <v>89</v>
      </c>
      <c r="C110" s="5">
        <v>30.382000000000001</v>
      </c>
      <c r="D110" s="5">
        <v>412</v>
      </c>
      <c r="E110" s="5">
        <v>955</v>
      </c>
      <c r="F110" s="5">
        <v>180.78200000000001</v>
      </c>
      <c r="G110" s="5"/>
      <c r="H110" s="5"/>
      <c r="I110" s="5"/>
      <c r="J110" s="5"/>
      <c r="K110" s="5"/>
      <c r="L110" s="5"/>
      <c r="N110" s="35"/>
      <c r="O110" s="35"/>
      <c r="P110" s="35"/>
      <c r="Q110" s="35"/>
    </row>
    <row r="111" spans="1:19">
      <c r="A111" s="17" t="s">
        <v>90</v>
      </c>
      <c r="C111" s="7">
        <v>0.3</v>
      </c>
      <c r="D111" s="7">
        <v>0.55000000000000004</v>
      </c>
      <c r="E111" s="7">
        <v>1.21</v>
      </c>
      <c r="F111" s="7">
        <v>3.1</v>
      </c>
      <c r="G111" s="7"/>
      <c r="H111" s="7"/>
      <c r="I111" s="7"/>
      <c r="J111" s="7"/>
      <c r="K111" s="7"/>
      <c r="L111" s="7"/>
      <c r="N111" s="35"/>
      <c r="O111" s="35"/>
      <c r="P111" s="35"/>
      <c r="Q111" s="35"/>
    </row>
    <row r="112" spans="1:19">
      <c r="A112" s="72" t="s">
        <v>75</v>
      </c>
      <c r="B112" s="73"/>
      <c r="C112" s="74" t="s">
        <v>74</v>
      </c>
      <c r="D112" s="74" t="s">
        <v>74</v>
      </c>
      <c r="E112" s="74" t="s">
        <v>74</v>
      </c>
      <c r="F112" s="74" t="s">
        <v>74</v>
      </c>
      <c r="G112" s="74"/>
      <c r="H112" s="74"/>
      <c r="I112" s="74"/>
      <c r="J112" s="74"/>
      <c r="K112" s="74"/>
      <c r="L112" s="74"/>
    </row>
    <row r="113" spans="1:17">
      <c r="C113" s="67"/>
      <c r="D113" s="67"/>
    </row>
    <row r="114" spans="1:17">
      <c r="A114" s="50" t="s">
        <v>82</v>
      </c>
      <c r="B114" s="64"/>
      <c r="C114" s="44" t="str">
        <f>C$7</f>
        <v>EXTR</v>
      </c>
      <c r="D114" s="44" t="str">
        <f t="shared" ref="D114:L114" si="41">D$7</f>
        <v>BRCD</v>
      </c>
      <c r="E114" s="44" t="str">
        <f t="shared" si="41"/>
        <v>JNPR</v>
      </c>
      <c r="F114" s="44" t="str">
        <f t="shared" si="41"/>
        <v>NTGR</v>
      </c>
      <c r="G114" s="44">
        <f t="shared" si="41"/>
        <v>0</v>
      </c>
      <c r="H114" s="44">
        <f t="shared" si="41"/>
        <v>0</v>
      </c>
      <c r="I114" s="44">
        <f t="shared" si="41"/>
        <v>0</v>
      </c>
      <c r="J114" s="44">
        <f t="shared" si="41"/>
        <v>0</v>
      </c>
      <c r="K114" s="44">
        <f t="shared" si="41"/>
        <v>0</v>
      </c>
      <c r="L114" s="44">
        <f t="shared" si="41"/>
        <v>0</v>
      </c>
    </row>
    <row r="115" spans="1:17">
      <c r="C115" s="67"/>
      <c r="D115" s="67"/>
    </row>
    <row r="116" spans="1:17">
      <c r="A116" s="68" t="s">
        <v>48</v>
      </c>
      <c r="B116" s="68"/>
      <c r="C116" s="28">
        <v>0.14000000000000001</v>
      </c>
      <c r="D116" s="28">
        <v>0.08</v>
      </c>
      <c r="E116" s="28">
        <v>0.15</v>
      </c>
      <c r="F116" s="28">
        <v>0.2</v>
      </c>
      <c r="G116" s="28"/>
      <c r="H116" s="28"/>
      <c r="I116" s="28"/>
      <c r="J116" s="28"/>
      <c r="K116" s="28"/>
      <c r="L116" s="28"/>
      <c r="N116" s="35"/>
      <c r="O116" s="35"/>
      <c r="P116" s="35"/>
      <c r="Q116" s="35"/>
    </row>
    <row r="117" spans="1:17">
      <c r="A117" s="72" t="s">
        <v>75</v>
      </c>
      <c r="B117" s="73"/>
      <c r="C117" s="74" t="s">
        <v>74</v>
      </c>
      <c r="D117" s="74" t="s">
        <v>74</v>
      </c>
      <c r="E117" s="74" t="s">
        <v>74</v>
      </c>
      <c r="F117" s="74" t="s">
        <v>74</v>
      </c>
    </row>
    <row r="118" spans="1:17">
      <c r="A118" s="72"/>
      <c r="B118" s="73"/>
      <c r="C118" s="74"/>
      <c r="D118" s="74"/>
      <c r="E118" s="74"/>
      <c r="F118" s="74"/>
    </row>
    <row r="119" spans="1:17" ht="15.75" thickBot="1">
      <c r="A119" s="52" t="s">
        <v>61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</row>
    <row r="120" spans="1:17">
      <c r="A120" s="17" t="s">
        <v>26</v>
      </c>
      <c r="C120" s="21" t="s">
        <v>29</v>
      </c>
      <c r="D120" s="21" t="s">
        <v>28</v>
      </c>
      <c r="E120" s="21" t="s">
        <v>27</v>
      </c>
      <c r="F120" s="21" t="s">
        <v>27</v>
      </c>
      <c r="G120" s="21"/>
      <c r="H120" s="21"/>
      <c r="I120" s="21"/>
      <c r="J120" s="21"/>
      <c r="K120" s="21"/>
      <c r="L120" s="21"/>
    </row>
    <row r="121" spans="1:17">
      <c r="A121" s="18"/>
    </row>
    <row r="122" spans="1:17">
      <c r="A122" s="48" t="s">
        <v>30</v>
      </c>
      <c r="C122" s="9">
        <v>0</v>
      </c>
      <c r="D122" s="9">
        <f>0.875+17.33</f>
        <v>18.204999999999998</v>
      </c>
      <c r="E122" s="9">
        <v>0</v>
      </c>
      <c r="F122" s="9">
        <v>0</v>
      </c>
      <c r="G122" s="9"/>
      <c r="H122" s="9"/>
      <c r="I122" s="9"/>
      <c r="J122" s="9"/>
      <c r="K122" s="9"/>
      <c r="L122" s="9"/>
    </row>
    <row r="123" spans="1:17">
      <c r="A123" s="48" t="s">
        <v>31</v>
      </c>
      <c r="C123" s="5">
        <v>0</v>
      </c>
      <c r="D123" s="5">
        <f>652.365+2.122</f>
        <v>654.48699999999997</v>
      </c>
      <c r="E123" s="5">
        <v>999.07100000000003</v>
      </c>
      <c r="F123" s="5">
        <v>0</v>
      </c>
      <c r="G123" s="5"/>
      <c r="H123" s="5"/>
      <c r="I123" s="5"/>
      <c r="J123" s="5"/>
      <c r="K123" s="5"/>
      <c r="L123" s="5"/>
    </row>
    <row r="124" spans="1:17">
      <c r="A124" s="49" t="s">
        <v>67</v>
      </c>
      <c r="C124" s="5">
        <v>0</v>
      </c>
      <c r="D124" s="5">
        <v>0</v>
      </c>
      <c r="E124" s="5">
        <v>0.47599999999999998</v>
      </c>
      <c r="F124" s="5">
        <v>0</v>
      </c>
      <c r="G124" s="5"/>
      <c r="H124" s="5"/>
      <c r="I124" s="5"/>
      <c r="J124" s="5"/>
      <c r="K124" s="5"/>
      <c r="L124" s="5"/>
    </row>
    <row r="125" spans="1:17">
      <c r="A125" s="48" t="s">
        <v>32</v>
      </c>
      <c r="C125" s="45">
        <v>0</v>
      </c>
      <c r="D125" s="45">
        <v>0</v>
      </c>
      <c r="E125" s="45">
        <v>0</v>
      </c>
      <c r="F125" s="45">
        <v>0</v>
      </c>
      <c r="G125" s="45"/>
      <c r="H125" s="45"/>
      <c r="I125" s="45"/>
      <c r="J125" s="45"/>
      <c r="K125" s="45"/>
      <c r="L125" s="45"/>
    </row>
    <row r="126" spans="1:17">
      <c r="A126" s="17" t="s">
        <v>68</v>
      </c>
      <c r="C126" s="47">
        <f>SUM(C122:C125)</f>
        <v>0</v>
      </c>
      <c r="D126" s="47">
        <f>SUM(D122:D125)</f>
        <v>672.69200000000001</v>
      </c>
      <c r="E126" s="47">
        <f>SUM(E122:E125)</f>
        <v>999.54700000000003</v>
      </c>
      <c r="F126" s="47">
        <f>SUM(F122:F125)</f>
        <v>0</v>
      </c>
      <c r="G126" s="46"/>
      <c r="H126" s="46"/>
      <c r="I126" s="46"/>
      <c r="J126" s="46"/>
      <c r="K126" s="46"/>
      <c r="L126" s="46"/>
    </row>
    <row r="127" spans="1:17">
      <c r="A127" s="49" t="s">
        <v>33</v>
      </c>
      <c r="C127" s="5">
        <f>-(53.323+22.349)</f>
        <v>-75.671999999999997</v>
      </c>
      <c r="D127" s="5">
        <v>-545.13599999999997</v>
      </c>
      <c r="E127" s="5">
        <f>-(2913.095+517.403)</f>
        <v>-3430.4979999999996</v>
      </c>
      <c r="F127" s="5">
        <f>-(149.258+220.162)</f>
        <v>-369.42</v>
      </c>
      <c r="G127" s="5"/>
      <c r="H127" s="5"/>
      <c r="I127" s="5"/>
      <c r="J127" s="5"/>
      <c r="K127" s="5"/>
      <c r="L127" s="5"/>
      <c r="N127" s="19" t="s">
        <v>35</v>
      </c>
    </row>
    <row r="128" spans="1:17">
      <c r="A128" s="16" t="s">
        <v>34</v>
      </c>
      <c r="B128" s="58"/>
      <c r="C128" s="13">
        <f>SUM(C126:C127)</f>
        <v>-75.671999999999997</v>
      </c>
      <c r="D128" s="13">
        <f>SUM(D126:D127)</f>
        <v>127.55600000000004</v>
      </c>
      <c r="E128" s="13">
        <f>SUM(E126:E127)</f>
        <v>-2430.9509999999996</v>
      </c>
      <c r="F128" s="13">
        <f>SUM(F126:F127)</f>
        <v>-369.42</v>
      </c>
      <c r="G128" s="13"/>
      <c r="H128" s="13"/>
      <c r="I128" s="13"/>
      <c r="J128" s="13"/>
      <c r="K128" s="13"/>
      <c r="L128" s="13"/>
    </row>
    <row r="129" spans="1:17">
      <c r="A129" s="15"/>
    </row>
    <row r="130" spans="1:17" ht="15.75" thickBot="1">
      <c r="A130" s="52" t="s">
        <v>91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</row>
    <row r="131" spans="1:17">
      <c r="A131" s="17"/>
      <c r="C131" s="53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7">
      <c r="A132" s="86" t="s">
        <v>109</v>
      </c>
      <c r="B132" s="44"/>
      <c r="C132" s="44" t="str">
        <f>C$7</f>
        <v>EXTR</v>
      </c>
      <c r="D132" s="44" t="str">
        <f t="shared" ref="D132:L132" si="42">D$7</f>
        <v>BRCD</v>
      </c>
      <c r="E132" s="44" t="str">
        <f t="shared" si="42"/>
        <v>JNPR</v>
      </c>
      <c r="F132" s="44" t="str">
        <f t="shared" si="42"/>
        <v>NTGR</v>
      </c>
      <c r="G132" s="44">
        <f t="shared" si="42"/>
        <v>0</v>
      </c>
      <c r="H132" s="44">
        <f t="shared" si="42"/>
        <v>0</v>
      </c>
      <c r="I132" s="44">
        <f t="shared" si="42"/>
        <v>0</v>
      </c>
      <c r="J132" s="44">
        <f t="shared" si="42"/>
        <v>0</v>
      </c>
      <c r="K132" s="44">
        <f t="shared" si="42"/>
        <v>0</v>
      </c>
      <c r="L132" s="44">
        <f t="shared" si="42"/>
        <v>0</v>
      </c>
    </row>
    <row r="133" spans="1:17">
      <c r="A133" s="49"/>
      <c r="C133" s="83"/>
      <c r="D133" s="83"/>
      <c r="E133" s="83"/>
      <c r="F133" s="84"/>
      <c r="G133" s="84"/>
      <c r="H133" s="84"/>
      <c r="I133" s="84"/>
      <c r="J133" s="84"/>
      <c r="K133" s="84"/>
      <c r="L133" s="84"/>
      <c r="M133" s="24"/>
      <c r="N133" s="24"/>
      <c r="O133"/>
    </row>
    <row r="134" spans="1:17">
      <c r="A134" s="49" t="s">
        <v>106</v>
      </c>
      <c r="C134" s="83">
        <f>C10</f>
        <v>3.5</v>
      </c>
      <c r="D134" s="83">
        <f>D10</f>
        <v>4.8899999999999997</v>
      </c>
      <c r="E134" s="83">
        <f>E10</f>
        <v>15.58</v>
      </c>
      <c r="F134" s="84">
        <f>F10</f>
        <v>32.869999999999997</v>
      </c>
      <c r="G134" s="84">
        <f t="shared" ref="G134:L134" si="43">G10</f>
        <v>0</v>
      </c>
      <c r="H134" s="84">
        <f t="shared" si="43"/>
        <v>0</v>
      </c>
      <c r="I134" s="84">
        <f t="shared" si="43"/>
        <v>0</v>
      </c>
      <c r="J134" s="84">
        <f t="shared" si="43"/>
        <v>0</v>
      </c>
      <c r="K134" s="84">
        <f t="shared" si="43"/>
        <v>0</v>
      </c>
      <c r="L134" s="84">
        <f t="shared" si="43"/>
        <v>0</v>
      </c>
      <c r="M134" s="24"/>
      <c r="N134" s="24"/>
      <c r="O134" s="24"/>
      <c r="P134" s="24"/>
      <c r="Q134" s="24"/>
    </row>
    <row r="135" spans="1:17">
      <c r="A135" s="49" t="s">
        <v>107</v>
      </c>
      <c r="C135" s="41">
        <f>C19</f>
        <v>94.920384714285717</v>
      </c>
      <c r="D135" s="41">
        <f>D19</f>
        <v>450.06604499999997</v>
      </c>
      <c r="E135" s="41">
        <f>E19</f>
        <v>534.6395917843389</v>
      </c>
      <c r="F135" s="82">
        <f>F19</f>
        <v>38.839698637359298</v>
      </c>
      <c r="G135" s="82">
        <f t="shared" ref="G135:L135" si="44">G19</f>
        <v>0</v>
      </c>
      <c r="H135" s="82">
        <f t="shared" si="44"/>
        <v>0</v>
      </c>
      <c r="I135" s="82">
        <f t="shared" si="44"/>
        <v>0</v>
      </c>
      <c r="J135" s="82">
        <f t="shared" si="44"/>
        <v>0</v>
      </c>
      <c r="K135" s="82">
        <f t="shared" si="44"/>
        <v>0</v>
      </c>
      <c r="L135" s="82">
        <f t="shared" si="44"/>
        <v>0</v>
      </c>
      <c r="M135" s="24"/>
      <c r="N135" s="24"/>
      <c r="O135" s="24"/>
      <c r="P135" s="24"/>
      <c r="Q135" s="24"/>
    </row>
    <row r="136" spans="1:17">
      <c r="A136" s="11" t="s">
        <v>108</v>
      </c>
      <c r="B136" s="85"/>
      <c r="C136" s="38">
        <f t="shared" ref="C136:L136" si="45">C19*C10</f>
        <v>332.22134649999998</v>
      </c>
      <c r="D136" s="38">
        <f t="shared" si="45"/>
        <v>2200.8229600499999</v>
      </c>
      <c r="E136" s="38">
        <f t="shared" si="45"/>
        <v>8329.6848399999999</v>
      </c>
      <c r="F136" s="38">
        <f t="shared" si="45"/>
        <v>1276.6608942099999</v>
      </c>
      <c r="G136" s="38">
        <f t="shared" si="45"/>
        <v>0</v>
      </c>
      <c r="H136" s="38">
        <f t="shared" si="45"/>
        <v>0</v>
      </c>
      <c r="I136" s="38">
        <f t="shared" si="45"/>
        <v>0</v>
      </c>
      <c r="J136" s="38">
        <f t="shared" si="45"/>
        <v>0</v>
      </c>
      <c r="K136" s="38">
        <f t="shared" si="45"/>
        <v>0</v>
      </c>
      <c r="L136" s="38">
        <f t="shared" si="45"/>
        <v>0</v>
      </c>
      <c r="M136" s="24"/>
      <c r="N136" s="24"/>
      <c r="O136" s="24"/>
      <c r="P136" s="24"/>
      <c r="Q136" s="24"/>
    </row>
    <row r="137" spans="1:17">
      <c r="A137" s="11"/>
      <c r="B137" s="85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24"/>
      <c r="N137" s="24"/>
      <c r="O137" s="24"/>
      <c r="P137" s="24"/>
      <c r="Q137" s="24"/>
    </row>
    <row r="138" spans="1:17">
      <c r="A138" s="49" t="s">
        <v>34</v>
      </c>
      <c r="B138" s="48"/>
      <c r="C138" s="41">
        <f>C128</f>
        <v>-75.671999999999997</v>
      </c>
      <c r="D138" s="41">
        <f t="shared" ref="D138:L138" si="46">D128</f>
        <v>127.55600000000004</v>
      </c>
      <c r="E138" s="41">
        <f t="shared" si="46"/>
        <v>-2430.9509999999996</v>
      </c>
      <c r="F138" s="41">
        <f t="shared" si="46"/>
        <v>-369.42</v>
      </c>
      <c r="G138" s="41">
        <f t="shared" si="46"/>
        <v>0</v>
      </c>
      <c r="H138" s="41">
        <f t="shared" si="46"/>
        <v>0</v>
      </c>
      <c r="I138" s="41">
        <f t="shared" si="46"/>
        <v>0</v>
      </c>
      <c r="J138" s="41">
        <f t="shared" si="46"/>
        <v>0</v>
      </c>
      <c r="K138" s="41">
        <f t="shared" si="46"/>
        <v>0</v>
      </c>
      <c r="L138" s="41">
        <f t="shared" si="46"/>
        <v>0</v>
      </c>
      <c r="M138" s="24"/>
      <c r="N138" s="24"/>
      <c r="O138" s="24"/>
      <c r="P138" s="24"/>
      <c r="Q138" s="24"/>
    </row>
    <row r="139" spans="1:17">
      <c r="A139" s="11" t="s">
        <v>105</v>
      </c>
      <c r="B139" s="16"/>
      <c r="C139" s="34">
        <f t="shared" ref="C139:L139" si="47">C136+C128</f>
        <v>256.54934649999996</v>
      </c>
      <c r="D139" s="34">
        <f t="shared" si="47"/>
        <v>2328.3789600499999</v>
      </c>
      <c r="E139" s="34">
        <f t="shared" si="47"/>
        <v>5898.7338400000008</v>
      </c>
      <c r="F139" s="34">
        <f t="shared" si="47"/>
        <v>907.24089420999985</v>
      </c>
      <c r="G139" s="34">
        <f t="shared" si="47"/>
        <v>0</v>
      </c>
      <c r="H139" s="34">
        <f t="shared" si="47"/>
        <v>0</v>
      </c>
      <c r="I139" s="34">
        <f t="shared" si="47"/>
        <v>0</v>
      </c>
      <c r="J139" s="34">
        <f t="shared" si="47"/>
        <v>0</v>
      </c>
      <c r="K139" s="34">
        <f t="shared" si="47"/>
        <v>0</v>
      </c>
      <c r="L139" s="34">
        <f t="shared" si="47"/>
        <v>0</v>
      </c>
      <c r="M139" s="24"/>
      <c r="N139" s="24"/>
      <c r="O139" s="24"/>
      <c r="P139" s="24"/>
      <c r="Q139" s="24"/>
    </row>
    <row r="140" spans="1:17">
      <c r="A140" s="15"/>
      <c r="M140" s="24"/>
      <c r="N140" s="24"/>
      <c r="O140" s="24"/>
      <c r="P140" s="24"/>
      <c r="Q140" s="24"/>
    </row>
    <row r="141" spans="1:17">
      <c r="A141" s="86" t="s">
        <v>110</v>
      </c>
      <c r="B141" s="44"/>
      <c r="C141" s="44" t="str">
        <f>C$7</f>
        <v>EXTR</v>
      </c>
      <c r="D141" s="44" t="str">
        <f t="shared" ref="D141:L141" si="48">D$7</f>
        <v>BRCD</v>
      </c>
      <c r="E141" s="44" t="str">
        <f t="shared" si="48"/>
        <v>JNPR</v>
      </c>
      <c r="F141" s="44" t="str">
        <f t="shared" si="48"/>
        <v>NTGR</v>
      </c>
      <c r="G141" s="44">
        <f t="shared" si="48"/>
        <v>0</v>
      </c>
      <c r="H141" s="44">
        <f t="shared" si="48"/>
        <v>0</v>
      </c>
      <c r="I141" s="44">
        <f t="shared" si="48"/>
        <v>0</v>
      </c>
      <c r="J141" s="44">
        <f t="shared" si="48"/>
        <v>0</v>
      </c>
      <c r="K141" s="44">
        <f t="shared" si="48"/>
        <v>0</v>
      </c>
      <c r="L141" s="44">
        <f t="shared" si="48"/>
        <v>0</v>
      </c>
    </row>
    <row r="142" spans="1:17">
      <c r="A142" s="17"/>
      <c r="C142" s="51"/>
      <c r="D142" s="51"/>
      <c r="E142" s="51"/>
      <c r="F142" s="51"/>
      <c r="G142" s="51"/>
      <c r="H142" s="51"/>
      <c r="I142" s="51"/>
      <c r="J142" s="51"/>
      <c r="K142" s="51"/>
      <c r="L142" s="51"/>
    </row>
    <row r="143" spans="1:17">
      <c r="A143" s="89" t="s">
        <v>111</v>
      </c>
      <c r="C143" s="51"/>
      <c r="D143" s="51"/>
      <c r="E143" s="51"/>
      <c r="F143" s="51"/>
      <c r="G143" s="51"/>
      <c r="H143" s="51"/>
      <c r="I143" s="51"/>
      <c r="J143" s="51"/>
      <c r="K143" s="51"/>
      <c r="L143" s="51"/>
    </row>
    <row r="144" spans="1:17">
      <c r="A144" s="17" t="s">
        <v>92</v>
      </c>
      <c r="C144" s="87">
        <f t="shared" ref="C144:L144" si="49">IFERROR(C139/C83, "NM")</f>
        <v>0.78978357165945789</v>
      </c>
      <c r="D144" s="87">
        <f t="shared" si="49"/>
        <v>1.0792508214969572</v>
      </c>
      <c r="E144" s="87">
        <f t="shared" si="49"/>
        <v>1.3468674249559607</v>
      </c>
      <c r="F144" s="87">
        <f t="shared" si="49"/>
        <v>0.73890683385526301</v>
      </c>
      <c r="G144" s="87" t="str">
        <f t="shared" si="49"/>
        <v>NM</v>
      </c>
      <c r="H144" s="87" t="str">
        <f t="shared" si="49"/>
        <v>NM</v>
      </c>
      <c r="I144" s="87" t="str">
        <f t="shared" si="49"/>
        <v>NM</v>
      </c>
      <c r="J144" s="87" t="str">
        <f t="shared" si="49"/>
        <v>NM</v>
      </c>
      <c r="K144" s="87" t="str">
        <f t="shared" si="49"/>
        <v>NM</v>
      </c>
      <c r="L144" s="87" t="str">
        <f t="shared" si="49"/>
        <v>NM</v>
      </c>
    </row>
    <row r="145" spans="1:12">
      <c r="A145" s="17" t="s">
        <v>93</v>
      </c>
      <c r="C145" s="87">
        <f t="shared" ref="C145:L145" si="50">IFERROR(C139/C84, "NM")</f>
        <v>20.589835192616381</v>
      </c>
      <c r="D145" s="87">
        <f t="shared" si="50"/>
        <v>5.6824379744966445</v>
      </c>
      <c r="E145" s="87">
        <f t="shared" si="50"/>
        <v>8.9169934514055598</v>
      </c>
      <c r="F145" s="87">
        <f t="shared" si="50"/>
        <v>6.2495928455995777</v>
      </c>
      <c r="G145" s="87" t="str">
        <f t="shared" si="50"/>
        <v>NM</v>
      </c>
      <c r="H145" s="87" t="str">
        <f t="shared" si="50"/>
        <v>NM</v>
      </c>
      <c r="I145" s="87" t="str">
        <f t="shared" si="50"/>
        <v>NM</v>
      </c>
      <c r="J145" s="87" t="str">
        <f t="shared" si="50"/>
        <v>NM</v>
      </c>
      <c r="K145" s="87" t="str">
        <f t="shared" si="50"/>
        <v>NM</v>
      </c>
      <c r="L145" s="87" t="str">
        <f t="shared" si="50"/>
        <v>NM</v>
      </c>
    </row>
    <row r="146" spans="1:12">
      <c r="A146" s="17" t="s">
        <v>94</v>
      </c>
      <c r="C146" s="87">
        <f t="shared" ref="C146:L146" si="51">IFERROR(C139/C85, "NM")</f>
        <v>37.872652273398316</v>
      </c>
      <c r="D146" s="87">
        <f t="shared" si="51"/>
        <v>11.081872379549466</v>
      </c>
      <c r="E146" s="87">
        <f t="shared" si="51"/>
        <v>12.066798625317078</v>
      </c>
      <c r="F146" s="87">
        <f t="shared" si="51"/>
        <v>6.9503864538691911</v>
      </c>
      <c r="G146" s="87" t="str">
        <f t="shared" si="51"/>
        <v>NM</v>
      </c>
      <c r="H146" s="87" t="str">
        <f t="shared" si="51"/>
        <v>NM</v>
      </c>
      <c r="I146" s="87" t="str">
        <f t="shared" si="51"/>
        <v>NM</v>
      </c>
      <c r="J146" s="87" t="str">
        <f t="shared" si="51"/>
        <v>NM</v>
      </c>
      <c r="K146" s="87" t="str">
        <f t="shared" si="51"/>
        <v>NM</v>
      </c>
      <c r="L146" s="87" t="str">
        <f t="shared" si="51"/>
        <v>NM</v>
      </c>
    </row>
    <row r="147" spans="1:12">
      <c r="A147" s="17" t="s">
        <v>95</v>
      </c>
      <c r="C147" s="87">
        <f t="shared" ref="C147:L147" si="52">IFERROR(C10/C86, "NM")</f>
        <v>53.977411808412775</v>
      </c>
      <c r="D147" s="87">
        <f t="shared" si="52"/>
        <v>24.199070924892688</v>
      </c>
      <c r="E147" s="87">
        <f t="shared" si="52"/>
        <v>26.89414174275478</v>
      </c>
      <c r="F147" s="87">
        <f t="shared" si="52"/>
        <v>13.184112625932688</v>
      </c>
      <c r="G147" s="87" t="str">
        <f t="shared" si="52"/>
        <v>NM</v>
      </c>
      <c r="H147" s="87" t="str">
        <f t="shared" si="52"/>
        <v>NM</v>
      </c>
      <c r="I147" s="87" t="str">
        <f t="shared" si="52"/>
        <v>NM</v>
      </c>
      <c r="J147" s="87" t="str">
        <f t="shared" si="52"/>
        <v>NM</v>
      </c>
      <c r="K147" s="87" t="str">
        <f t="shared" si="52"/>
        <v>NM</v>
      </c>
      <c r="L147" s="87" t="str">
        <f t="shared" si="52"/>
        <v>NM</v>
      </c>
    </row>
    <row r="148" spans="1:12">
      <c r="A148" s="89" t="s">
        <v>46</v>
      </c>
    </row>
    <row r="149" spans="1:12">
      <c r="A149" s="17" t="s">
        <v>96</v>
      </c>
      <c r="C149" s="88">
        <f t="shared" ref="C149:L149" si="53">IFERROR(C$139/C99, "NM")</f>
        <v>0.80014142937342092</v>
      </c>
      <c r="D149" s="88">
        <f t="shared" si="53"/>
        <v>1.0530886296019901</v>
      </c>
      <c r="E149" s="88">
        <f t="shared" si="53"/>
        <v>1.3376723677347668</v>
      </c>
      <c r="F149" s="88">
        <f t="shared" si="53"/>
        <v>0.66593819078063632</v>
      </c>
      <c r="G149" s="88" t="str">
        <f t="shared" si="53"/>
        <v>NM</v>
      </c>
      <c r="H149" s="88" t="str">
        <f t="shared" si="53"/>
        <v>NM</v>
      </c>
      <c r="I149" s="88" t="str">
        <f t="shared" si="53"/>
        <v>NM</v>
      </c>
      <c r="J149" s="88" t="str">
        <f t="shared" si="53"/>
        <v>NM</v>
      </c>
      <c r="K149" s="88" t="str">
        <f t="shared" si="53"/>
        <v>NM</v>
      </c>
      <c r="L149" s="88" t="str">
        <f t="shared" si="53"/>
        <v>NM</v>
      </c>
    </row>
    <row r="150" spans="1:12">
      <c r="A150" s="17" t="s">
        <v>97</v>
      </c>
      <c r="C150" s="88">
        <f t="shared" ref="C150:L150" si="54">IFERROR(C$139/C100, "NM")</f>
        <v>9.0124831904728424</v>
      </c>
      <c r="D150" s="88">
        <f t="shared" si="54"/>
        <v>3.835247834047109</v>
      </c>
      <c r="E150" s="88">
        <f t="shared" si="54"/>
        <v>6.8446667904386178</v>
      </c>
      <c r="F150" s="88">
        <f t="shared" si="54"/>
        <v>5.402172765332856</v>
      </c>
      <c r="G150" s="88" t="str">
        <f t="shared" si="54"/>
        <v>NM</v>
      </c>
      <c r="H150" s="88" t="str">
        <f t="shared" si="54"/>
        <v>NM</v>
      </c>
      <c r="I150" s="88" t="str">
        <f t="shared" si="54"/>
        <v>NM</v>
      </c>
      <c r="J150" s="88" t="str">
        <f t="shared" si="54"/>
        <v>NM</v>
      </c>
      <c r="K150" s="88" t="str">
        <f t="shared" si="54"/>
        <v>NM</v>
      </c>
      <c r="L150" s="88" t="str">
        <f t="shared" si="54"/>
        <v>NM</v>
      </c>
    </row>
    <row r="151" spans="1:12">
      <c r="A151" s="17" t="s">
        <v>98</v>
      </c>
      <c r="C151" s="88">
        <f t="shared" ref="C151:L151" si="55">IFERROR(C$139/C101, "NM")</f>
        <v>11.22950829466865</v>
      </c>
      <c r="D151" s="88">
        <f t="shared" si="55"/>
        <v>5.637721452905569</v>
      </c>
      <c r="E151" s="88">
        <f t="shared" si="55"/>
        <v>8.5762341378307667</v>
      </c>
      <c r="F151" s="88">
        <f t="shared" si="55"/>
        <v>5.5276087358723922</v>
      </c>
      <c r="G151" s="88" t="str">
        <f t="shared" si="55"/>
        <v>NM</v>
      </c>
      <c r="H151" s="88" t="str">
        <f t="shared" si="55"/>
        <v>NM</v>
      </c>
      <c r="I151" s="88" t="str">
        <f t="shared" si="55"/>
        <v>NM</v>
      </c>
      <c r="J151" s="88" t="str">
        <f t="shared" si="55"/>
        <v>NM</v>
      </c>
      <c r="K151" s="88" t="str">
        <f t="shared" si="55"/>
        <v>NM</v>
      </c>
      <c r="L151" s="88" t="str">
        <f t="shared" si="55"/>
        <v>NM</v>
      </c>
    </row>
    <row r="152" spans="1:12">
      <c r="A152" s="17" t="s">
        <v>99</v>
      </c>
      <c r="C152" s="88">
        <f t="shared" ref="C152:L152" si="56">IFERROR(C134/C102, "NM")</f>
        <v>15.217391304347826</v>
      </c>
      <c r="D152" s="88">
        <f t="shared" si="56"/>
        <v>8.15</v>
      </c>
      <c r="E152" s="88">
        <f t="shared" si="56"/>
        <v>17.908045977011493</v>
      </c>
      <c r="F152" s="88">
        <f t="shared" si="56"/>
        <v>11.373702422145328</v>
      </c>
      <c r="G152" s="88" t="str">
        <f t="shared" si="56"/>
        <v>NM</v>
      </c>
      <c r="H152" s="88" t="str">
        <f t="shared" si="56"/>
        <v>NM</v>
      </c>
      <c r="I152" s="88" t="str">
        <f t="shared" si="56"/>
        <v>NM</v>
      </c>
      <c r="J152" s="88" t="str">
        <f t="shared" si="56"/>
        <v>NM</v>
      </c>
      <c r="K152" s="88" t="str">
        <f t="shared" si="56"/>
        <v>NM</v>
      </c>
      <c r="L152" s="88" t="str">
        <f t="shared" si="56"/>
        <v>NM</v>
      </c>
    </row>
    <row r="153" spans="1:12">
      <c r="A153" s="89" t="s">
        <v>47</v>
      </c>
    </row>
    <row r="154" spans="1:12">
      <c r="A154" s="17" t="s">
        <v>100</v>
      </c>
      <c r="C154" s="88">
        <f t="shared" ref="C154:L154" si="57">IFERROR(C$139/C108, "NM")</f>
        <v>0.7601281939983644</v>
      </c>
      <c r="D154" s="88">
        <f t="shared" si="57"/>
        <v>1.017648146875</v>
      </c>
      <c r="E154" s="88">
        <f t="shared" si="57"/>
        <v>1.2039952319719145</v>
      </c>
      <c r="F154" s="88">
        <f t="shared" si="57"/>
        <v>0.58261786961687145</v>
      </c>
      <c r="G154" s="88" t="str">
        <f t="shared" si="57"/>
        <v>NM</v>
      </c>
      <c r="H154" s="88" t="str">
        <f t="shared" si="57"/>
        <v>NM</v>
      </c>
      <c r="I154" s="88" t="str">
        <f t="shared" si="57"/>
        <v>NM</v>
      </c>
      <c r="J154" s="88" t="str">
        <f t="shared" si="57"/>
        <v>NM</v>
      </c>
      <c r="K154" s="88" t="str">
        <f t="shared" si="57"/>
        <v>NM</v>
      </c>
      <c r="L154" s="88" t="str">
        <f t="shared" si="57"/>
        <v>NM</v>
      </c>
    </row>
    <row r="155" spans="1:12">
      <c r="A155" s="17" t="s">
        <v>101</v>
      </c>
      <c r="C155" s="88">
        <f t="shared" ref="C155:L155" si="58">IFERROR(C$139/C109, "NM")</f>
        <v>6.8014142762460228</v>
      </c>
      <c r="D155" s="88">
        <f t="shared" si="58"/>
        <v>3.8070290386690644</v>
      </c>
      <c r="E155" s="88">
        <f t="shared" si="58"/>
        <v>5.224742108060231</v>
      </c>
      <c r="F155" s="88">
        <f t="shared" si="58"/>
        <v>4.7701818928965762</v>
      </c>
      <c r="G155" s="88" t="str">
        <f t="shared" si="58"/>
        <v>NM</v>
      </c>
      <c r="H155" s="88" t="str">
        <f t="shared" si="58"/>
        <v>NM</v>
      </c>
      <c r="I155" s="88" t="str">
        <f t="shared" si="58"/>
        <v>NM</v>
      </c>
      <c r="J155" s="88" t="str">
        <f t="shared" si="58"/>
        <v>NM</v>
      </c>
      <c r="K155" s="88" t="str">
        <f t="shared" si="58"/>
        <v>NM</v>
      </c>
      <c r="L155" s="88" t="str">
        <f t="shared" si="58"/>
        <v>NM</v>
      </c>
    </row>
    <row r="156" spans="1:12">
      <c r="A156" s="17" t="s">
        <v>102</v>
      </c>
      <c r="C156" s="88">
        <f t="shared" ref="C156:L156" si="59">IFERROR(C$139/C110, "NM")</f>
        <v>8.444123049832136</v>
      </c>
      <c r="D156" s="88">
        <f t="shared" si="59"/>
        <v>5.6514052428398056</v>
      </c>
      <c r="E156" s="88">
        <f t="shared" si="59"/>
        <v>6.1766846492146605</v>
      </c>
      <c r="F156" s="88">
        <f t="shared" si="59"/>
        <v>5.0184249217842476</v>
      </c>
      <c r="G156" s="88" t="str">
        <f t="shared" si="59"/>
        <v>NM</v>
      </c>
      <c r="H156" s="88" t="str">
        <f t="shared" si="59"/>
        <v>NM</v>
      </c>
      <c r="I156" s="88" t="str">
        <f t="shared" si="59"/>
        <v>NM</v>
      </c>
      <c r="J156" s="88" t="str">
        <f t="shared" si="59"/>
        <v>NM</v>
      </c>
      <c r="K156" s="88" t="str">
        <f t="shared" si="59"/>
        <v>NM</v>
      </c>
      <c r="L156" s="88" t="str">
        <f t="shared" si="59"/>
        <v>NM</v>
      </c>
    </row>
    <row r="157" spans="1:12">
      <c r="A157" s="17" t="s">
        <v>103</v>
      </c>
      <c r="C157" s="88">
        <f t="shared" ref="C157:L157" si="60">IFERROR(C134/C111, "NM")</f>
        <v>11.666666666666668</v>
      </c>
      <c r="D157" s="88">
        <f t="shared" si="60"/>
        <v>8.8909090909090889</v>
      </c>
      <c r="E157" s="88">
        <f t="shared" si="60"/>
        <v>12.87603305785124</v>
      </c>
      <c r="F157" s="88">
        <f t="shared" si="60"/>
        <v>10.603225806451611</v>
      </c>
      <c r="G157" s="88" t="str">
        <f t="shared" si="60"/>
        <v>NM</v>
      </c>
      <c r="H157" s="88" t="str">
        <f t="shared" si="60"/>
        <v>NM</v>
      </c>
      <c r="I157" s="88" t="str">
        <f t="shared" si="60"/>
        <v>NM</v>
      </c>
      <c r="J157" s="88" t="str">
        <f t="shared" si="60"/>
        <v>NM</v>
      </c>
      <c r="K157" s="88" t="str">
        <f t="shared" si="60"/>
        <v>NM</v>
      </c>
      <c r="L157" s="88" t="str">
        <f t="shared" si="60"/>
        <v>NM</v>
      </c>
    </row>
    <row r="159" spans="1:12">
      <c r="A159" s="19" t="s">
        <v>104</v>
      </c>
      <c r="C159" s="88">
        <f t="shared" ref="C159:L159" si="61">IFERROR(C152/(C116*100), "NM")</f>
        <v>1.0869565217391304</v>
      </c>
      <c r="D159" s="88">
        <f t="shared" si="61"/>
        <v>1.01875</v>
      </c>
      <c r="E159" s="88">
        <f t="shared" si="61"/>
        <v>1.1938697318007663</v>
      </c>
      <c r="F159" s="88">
        <f t="shared" si="61"/>
        <v>0.56868512110726643</v>
      </c>
      <c r="G159" s="88" t="str">
        <f t="shared" si="61"/>
        <v>NM</v>
      </c>
      <c r="H159" s="88" t="str">
        <f t="shared" si="61"/>
        <v>NM</v>
      </c>
      <c r="I159" s="88" t="str">
        <f t="shared" si="61"/>
        <v>NM</v>
      </c>
      <c r="J159" s="88" t="str">
        <f t="shared" si="61"/>
        <v>NM</v>
      </c>
      <c r="K159" s="88" t="str">
        <f t="shared" si="61"/>
        <v>NM</v>
      </c>
      <c r="L159" s="88" t="str">
        <f t="shared" si="61"/>
        <v>NM</v>
      </c>
    </row>
    <row r="176" spans="3:3">
      <c r="C176" s="89"/>
    </row>
    <row r="177" spans="3:5">
      <c r="C177" s="17"/>
    </row>
    <row r="178" spans="3:5">
      <c r="C178" s="17"/>
    </row>
    <row r="179" spans="3:5">
      <c r="C179" s="17"/>
    </row>
    <row r="180" spans="3:5">
      <c r="C180" s="89"/>
      <c r="E180" s="15"/>
    </row>
    <row r="181" spans="3:5">
      <c r="C181" s="17"/>
    </row>
    <row r="182" spans="3:5">
      <c r="C182" s="17"/>
    </row>
    <row r="183" spans="3:5">
      <c r="C183" s="17"/>
    </row>
    <row r="184" spans="3:5">
      <c r="C184" s="17"/>
    </row>
  </sheetData>
  <dataValidations disablePrompts="1" count="1">
    <dataValidation type="list" allowBlank="1" showInputMessage="1" showErrorMessage="1" sqref="C120:L120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SimpleOutput</vt:lpstr>
      <vt:lpstr>SimpleInput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 Street Prep</dc:creator>
  <cp:lastModifiedBy>Wall Street Prep</cp:lastModifiedBy>
  <cp:lastPrinted>2012-06-27T21:37:14Z</cp:lastPrinted>
  <dcterms:created xsi:type="dcterms:W3CDTF">2011-11-04T21:28:06Z</dcterms:created>
  <dcterms:modified xsi:type="dcterms:W3CDTF">2013-08-22T14:39:14Z</dcterms:modified>
</cp:coreProperties>
</file>