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G:\My Drive\Wall Street Prep\"/>
    </mc:Choice>
  </mc:AlternateContent>
  <xr:revisionPtr revIDLastSave="0" documentId="13_ncr:1_{A61037DC-18C0-429B-8958-3EF5B2E0EDB9}" xr6:coauthVersionLast="47" xr6:coauthVersionMax="47" xr10:uidLastSave="{00000000-0000-0000-0000-000000000000}"/>
  <bookViews>
    <workbookView xWindow="-108" yWindow="-108" windowWidth="46296" windowHeight="25416" xr2:uid="{00000000-000D-0000-FFFF-FFFF00000000}"/>
  </bookViews>
  <sheets>
    <sheet name="Mini Model" sheetId="3" r:id="rId1"/>
  </sheets>
  <definedNames>
    <definedName name="factor" localSheetId="0">'Mini Model'!#REF!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>1056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41447.9393518519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'Mini Model'!$B$2:$O$218</definedName>
    <definedName name="_xlnm.Print_Titles" localSheetId="0">'Mini Model'!$2:$5</definedName>
  </definedNames>
  <calcPr calcId="191029" calcMode="autoNoTable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9" i="3" l="1"/>
  <c r="L212" i="3" l="1"/>
  <c r="M212" i="3" s="1"/>
  <c r="N212" i="3" s="1"/>
  <c r="O212" i="3" s="1"/>
  <c r="D212" i="3"/>
  <c r="E212" i="3" s="1"/>
  <c r="F212" i="3" s="1"/>
  <c r="G212" i="3" s="1"/>
  <c r="D203" i="3"/>
  <c r="E203" i="3" s="1"/>
  <c r="F203" i="3" s="1"/>
  <c r="G203" i="3" s="1"/>
  <c r="L203" i="3"/>
  <c r="M203" i="3" s="1"/>
  <c r="N203" i="3" s="1"/>
  <c r="O203" i="3" s="1"/>
  <c r="E27" i="3"/>
  <c r="D27" i="3"/>
  <c r="C27" i="3"/>
  <c r="E26" i="3"/>
  <c r="D26" i="3"/>
  <c r="C26" i="3"/>
  <c r="E25" i="3"/>
  <c r="D25" i="3"/>
  <c r="C25" i="3"/>
  <c r="K77" i="3"/>
  <c r="J103" i="3" l="1"/>
  <c r="J108" i="3"/>
  <c r="B113" i="3"/>
  <c r="B112" i="3"/>
  <c r="J110" i="3"/>
  <c r="J98" i="3"/>
  <c r="B98" i="3"/>
  <c r="B200" i="3"/>
  <c r="B195" i="3"/>
  <c r="B196" i="3" s="1"/>
  <c r="O185" i="3"/>
  <c r="N185" i="3"/>
  <c r="M185" i="3"/>
  <c r="L185" i="3"/>
  <c r="K185" i="3"/>
  <c r="J183" i="3"/>
  <c r="B183" i="3"/>
  <c r="J175" i="3"/>
  <c r="G169" i="3"/>
  <c r="F169" i="3"/>
  <c r="G168" i="3"/>
  <c r="F168" i="3"/>
  <c r="G167" i="3"/>
  <c r="F167" i="3"/>
  <c r="L165" i="3"/>
  <c r="M165" i="3" s="1"/>
  <c r="J164" i="3"/>
  <c r="B164" i="3"/>
  <c r="B159" i="3"/>
  <c r="B158" i="3"/>
  <c r="B151" i="3"/>
  <c r="O145" i="3"/>
  <c r="N145" i="3"/>
  <c r="M145" i="3"/>
  <c r="L145" i="3"/>
  <c r="K145" i="3"/>
  <c r="J140" i="3"/>
  <c r="B140" i="3"/>
  <c r="B120" i="3"/>
  <c r="B119" i="3"/>
  <c r="J94" i="3"/>
  <c r="J79" i="3"/>
  <c r="J12" i="3" s="1"/>
  <c r="K110" i="3"/>
  <c r="K76" i="3"/>
  <c r="K98" i="3" s="1"/>
  <c r="L70" i="3"/>
  <c r="L69" i="3"/>
  <c r="J69" i="3"/>
  <c r="K134" i="3" s="1"/>
  <c r="B69" i="3"/>
  <c r="B169" i="3" s="1"/>
  <c r="B173" i="3" s="1"/>
  <c r="L68" i="3"/>
  <c r="B68" i="3"/>
  <c r="B168" i="3" s="1"/>
  <c r="B172" i="3" s="1"/>
  <c r="L51" i="3"/>
  <c r="L50" i="3"/>
  <c r="O47" i="3"/>
  <c r="N46" i="3"/>
  <c r="N47" i="3" s="1"/>
  <c r="B27" i="3"/>
  <c r="B26" i="3"/>
  <c r="B25" i="3"/>
  <c r="E24" i="3"/>
  <c r="D24" i="3"/>
  <c r="C24" i="3"/>
  <c r="C23" i="3"/>
  <c r="B19" i="3"/>
  <c r="E18" i="3"/>
  <c r="B18" i="3"/>
  <c r="E17" i="3"/>
  <c r="B17" i="3"/>
  <c r="B16" i="3"/>
  <c r="B15" i="3"/>
  <c r="B11" i="3"/>
  <c r="B10" i="3"/>
  <c r="J9" i="3"/>
  <c r="B9" i="3"/>
  <c r="J8" i="3"/>
  <c r="J23" i="3" s="1"/>
  <c r="G8" i="3"/>
  <c r="L77" i="3" l="1"/>
  <c r="J24" i="3"/>
  <c r="J177" i="3"/>
  <c r="K143" i="3"/>
  <c r="J113" i="3"/>
  <c r="K113" i="3" s="1"/>
  <c r="K108" i="3" s="1"/>
  <c r="K124" i="3" s="1"/>
  <c r="K168" i="3"/>
  <c r="J168" i="3" s="1"/>
  <c r="J112" i="3"/>
  <c r="K112" i="3" s="1"/>
  <c r="L112" i="3" s="1"/>
  <c r="K169" i="3"/>
  <c r="J169" i="3" s="1"/>
  <c r="J93" i="3"/>
  <c r="J81" i="3"/>
  <c r="E39" i="3" s="1"/>
  <c r="K119" i="3"/>
  <c r="J13" i="3"/>
  <c r="E16" i="3"/>
  <c r="B7" i="3"/>
  <c r="B8" i="3"/>
  <c r="K9" i="3"/>
  <c r="K10" i="3" s="1"/>
  <c r="K121" i="3"/>
  <c r="K82" i="3" s="1"/>
  <c r="K80" i="3"/>
  <c r="K126" i="3"/>
  <c r="K140" i="3"/>
  <c r="K183" i="3"/>
  <c r="K164" i="3"/>
  <c r="K175" i="3" s="1"/>
  <c r="K122" i="3" s="1"/>
  <c r="K8" i="3"/>
  <c r="L76" i="3"/>
  <c r="L98" i="3" s="1"/>
  <c r="L168" i="3"/>
  <c r="L169" i="3"/>
  <c r="M168" i="3"/>
  <c r="M169" i="3"/>
  <c r="N165" i="3"/>
  <c r="M77" i="3" l="1"/>
  <c r="N77" i="3" s="1"/>
  <c r="O77" i="3" s="1"/>
  <c r="L113" i="3"/>
  <c r="M113" i="3" s="1"/>
  <c r="J15" i="3"/>
  <c r="J16" i="3" s="1"/>
  <c r="K103" i="3"/>
  <c r="J83" i="3"/>
  <c r="J87" i="3" s="1"/>
  <c r="J89" i="3" s="1"/>
  <c r="J19" i="3" s="1"/>
  <c r="J20" i="3" s="1"/>
  <c r="L80" i="3"/>
  <c r="L110" i="3"/>
  <c r="M112" i="3"/>
  <c r="K78" i="3"/>
  <c r="K79" i="3" s="1"/>
  <c r="K81" i="3" s="1"/>
  <c r="I71" i="3"/>
  <c r="I70" i="3"/>
  <c r="J58" i="3"/>
  <c r="E41" i="3"/>
  <c r="I69" i="3"/>
  <c r="K127" i="3"/>
  <c r="K30" i="3"/>
  <c r="N168" i="3"/>
  <c r="O165" i="3"/>
  <c r="N169" i="3"/>
  <c r="L78" i="3"/>
  <c r="L79" i="3" s="1"/>
  <c r="L9" i="3"/>
  <c r="L10" i="3" s="1"/>
  <c r="L121" i="3"/>
  <c r="L82" i="3" s="1"/>
  <c r="L126" i="3"/>
  <c r="L140" i="3"/>
  <c r="L164" i="3"/>
  <c r="L175" i="3" s="1"/>
  <c r="L122" i="3" s="1"/>
  <c r="L8" i="3"/>
  <c r="L183" i="3"/>
  <c r="L119" i="3"/>
  <c r="M76" i="3"/>
  <c r="M98" i="3" s="1"/>
  <c r="K195" i="3"/>
  <c r="K194" i="3"/>
  <c r="K196" i="3"/>
  <c r="L108" i="3" l="1"/>
  <c r="L124" i="3" s="1"/>
  <c r="K29" i="3"/>
  <c r="K123" i="3"/>
  <c r="L103" i="3"/>
  <c r="M110" i="3"/>
  <c r="M103" i="3" s="1"/>
  <c r="N112" i="3"/>
  <c r="N113" i="3"/>
  <c r="K12" i="3"/>
  <c r="K13" i="3" s="1"/>
  <c r="L81" i="3"/>
  <c r="L12" i="3"/>
  <c r="L13" i="3" s="1"/>
  <c r="K83" i="3"/>
  <c r="K15" i="3"/>
  <c r="K184" i="3"/>
  <c r="K186" i="3" s="1"/>
  <c r="K86" i="3"/>
  <c r="L196" i="3"/>
  <c r="L195" i="3"/>
  <c r="L127" i="3"/>
  <c r="L30" i="3"/>
  <c r="M140" i="3"/>
  <c r="M164" i="3"/>
  <c r="M175" i="3" s="1"/>
  <c r="M122" i="3" s="1"/>
  <c r="M8" i="3"/>
  <c r="M183" i="3"/>
  <c r="M119" i="3"/>
  <c r="N76" i="3"/>
  <c r="N98" i="3" s="1"/>
  <c r="J68" i="3"/>
  <c r="O39" i="3"/>
  <c r="E68" i="3"/>
  <c r="J147" i="3" s="1"/>
  <c r="J172" i="3"/>
  <c r="J60" i="3"/>
  <c r="J174" i="3"/>
  <c r="J173" i="3"/>
  <c r="E69" i="3"/>
  <c r="J155" i="3" s="1"/>
  <c r="O169" i="3"/>
  <c r="O168" i="3"/>
  <c r="M9" i="3"/>
  <c r="M10" i="3" s="1"/>
  <c r="M78" i="3"/>
  <c r="M79" i="3" s="1"/>
  <c r="M121" i="3"/>
  <c r="M82" i="3" s="1"/>
  <c r="N110" i="3"/>
  <c r="M126" i="3"/>
  <c r="M80" i="3"/>
  <c r="O42" i="3" l="1"/>
  <c r="O50" i="3" s="1"/>
  <c r="L29" i="3"/>
  <c r="M123" i="3"/>
  <c r="L123" i="3"/>
  <c r="M108" i="3"/>
  <c r="M124" i="3" s="1"/>
  <c r="O113" i="3"/>
  <c r="N108" i="3"/>
  <c r="O112" i="3"/>
  <c r="N103" i="3"/>
  <c r="M12" i="3"/>
  <c r="M13" i="3" s="1"/>
  <c r="M81" i="3"/>
  <c r="N9" i="3"/>
  <c r="N10" i="3" s="1"/>
  <c r="N121" i="3"/>
  <c r="N82" i="3" s="1"/>
  <c r="N78" i="3"/>
  <c r="N79" i="3" s="1"/>
  <c r="N126" i="3"/>
  <c r="O110" i="3"/>
  <c r="N80" i="3"/>
  <c r="J176" i="3"/>
  <c r="L15" i="3"/>
  <c r="L83" i="3"/>
  <c r="L86" i="3"/>
  <c r="L184" i="3"/>
  <c r="L186" i="3" s="1"/>
  <c r="D68" i="3"/>
  <c r="E7" i="3"/>
  <c r="N140" i="3"/>
  <c r="N8" i="3"/>
  <c r="N183" i="3"/>
  <c r="N164" i="3"/>
  <c r="N175" i="3" s="1"/>
  <c r="N122" i="3" s="1"/>
  <c r="O76" i="3"/>
  <c r="O98" i="3" s="1"/>
  <c r="N119" i="3"/>
  <c r="E8" i="3"/>
  <c r="D69" i="3"/>
  <c r="M127" i="3"/>
  <c r="M30" i="3"/>
  <c r="K142" i="3"/>
  <c r="J158" i="3"/>
  <c r="I68" i="3"/>
  <c r="E15" i="3"/>
  <c r="E19" i="3" s="1"/>
  <c r="J72" i="3"/>
  <c r="M196" i="3"/>
  <c r="K17" i="3"/>
  <c r="K16" i="3"/>
  <c r="K152" i="3"/>
  <c r="K153" i="3" s="1"/>
  <c r="K130" i="3" s="1"/>
  <c r="J159" i="3"/>
  <c r="O51" i="3" l="1"/>
  <c r="N51" i="3" s="1"/>
  <c r="N69" i="3" s="1"/>
  <c r="M29" i="3"/>
  <c r="N123" i="3"/>
  <c r="N29" i="3"/>
  <c r="N124" i="3"/>
  <c r="O103" i="3"/>
  <c r="O123" i="3" s="1"/>
  <c r="O108" i="3"/>
  <c r="O124" i="3" s="1"/>
  <c r="O140" i="3"/>
  <c r="O8" i="3"/>
  <c r="O119" i="3"/>
  <c r="O164" i="3"/>
  <c r="O175" i="3" s="1"/>
  <c r="O122" i="3" s="1"/>
  <c r="O183" i="3"/>
  <c r="N194" i="3"/>
  <c r="L16" i="3"/>
  <c r="L17" i="3"/>
  <c r="N50" i="3"/>
  <c r="M50" i="3" s="1"/>
  <c r="I72" i="3"/>
  <c r="J179" i="3"/>
  <c r="J34" i="3" s="1"/>
  <c r="J178" i="3"/>
  <c r="O121" i="3"/>
  <c r="O82" i="3" s="1"/>
  <c r="O78" i="3"/>
  <c r="O79" i="3" s="1"/>
  <c r="O9" i="3"/>
  <c r="O10" i="3" s="1"/>
  <c r="O126" i="3"/>
  <c r="O80" i="3"/>
  <c r="J160" i="3"/>
  <c r="J25" i="3" s="1"/>
  <c r="N127" i="3"/>
  <c r="N30" i="3"/>
  <c r="K148" i="3"/>
  <c r="N12" i="3"/>
  <c r="N13" i="3" s="1"/>
  <c r="N81" i="3"/>
  <c r="M83" i="3"/>
  <c r="M184" i="3"/>
  <c r="M186" i="3" s="1"/>
  <c r="M15" i="3"/>
  <c r="M86" i="3"/>
  <c r="O52" i="3" l="1"/>
  <c r="O29" i="3"/>
  <c r="M51" i="3"/>
  <c r="M52" i="3" s="1"/>
  <c r="J26" i="3"/>
  <c r="J33" i="3"/>
  <c r="N83" i="3"/>
  <c r="N184" i="3"/>
  <c r="N186" i="3" s="1"/>
  <c r="N86" i="3"/>
  <c r="N15" i="3"/>
  <c r="N68" i="3"/>
  <c r="N52" i="3"/>
  <c r="E70" i="3" s="1"/>
  <c r="M16" i="3"/>
  <c r="M17" i="3"/>
  <c r="O194" i="3"/>
  <c r="O195" i="3"/>
  <c r="O12" i="3"/>
  <c r="O13" i="3" s="1"/>
  <c r="O81" i="3"/>
  <c r="O127" i="3"/>
  <c r="O30" i="3"/>
  <c r="N16" i="3" l="1"/>
  <c r="N17" i="3"/>
  <c r="E9" i="3"/>
  <c r="D70" i="3"/>
  <c r="E71" i="3"/>
  <c r="O83" i="3"/>
  <c r="O184" i="3"/>
  <c r="O186" i="3" s="1"/>
  <c r="O86" i="3"/>
  <c r="O15" i="3"/>
  <c r="J194" i="3" l="1"/>
  <c r="J195" i="3" s="1"/>
  <c r="E72" i="3"/>
  <c r="D72" i="3" s="1"/>
  <c r="O16" i="3"/>
  <c r="O17" i="3"/>
  <c r="D71" i="3"/>
  <c r="N70" i="3"/>
  <c r="E10" i="3"/>
  <c r="E11" i="3" s="1"/>
  <c r="N72" i="3" l="1"/>
  <c r="J196" i="3"/>
  <c r="O69" i="3" l="1"/>
  <c r="O68" i="3"/>
  <c r="O70" i="3"/>
  <c r="O72" i="3" l="1"/>
  <c r="M194" i="3" l="1"/>
  <c r="N195" i="3"/>
  <c r="O196" i="3"/>
  <c r="K19" i="3"/>
  <c r="L19" i="3"/>
  <c r="M19" i="3"/>
  <c r="N19" i="3"/>
  <c r="O19" i="3"/>
  <c r="K20" i="3"/>
  <c r="L20" i="3"/>
  <c r="M20" i="3"/>
  <c r="N20" i="3"/>
  <c r="O20" i="3"/>
  <c r="K21" i="3"/>
  <c r="L21" i="3"/>
  <c r="M21" i="3"/>
  <c r="N21" i="3"/>
  <c r="O21" i="3"/>
  <c r="K24" i="3"/>
  <c r="L24" i="3"/>
  <c r="M24" i="3"/>
  <c r="N24" i="3"/>
  <c r="O24" i="3"/>
  <c r="K25" i="3"/>
  <c r="L25" i="3"/>
  <c r="M25" i="3"/>
  <c r="N25" i="3"/>
  <c r="O25" i="3"/>
  <c r="K26" i="3"/>
  <c r="L26" i="3"/>
  <c r="M26" i="3"/>
  <c r="N26" i="3"/>
  <c r="O26" i="3"/>
  <c r="K33" i="3"/>
  <c r="L33" i="3"/>
  <c r="M33" i="3"/>
  <c r="N33" i="3"/>
  <c r="O33" i="3"/>
  <c r="K34" i="3"/>
  <c r="L34" i="3"/>
  <c r="M34" i="3"/>
  <c r="N34" i="3"/>
  <c r="O34" i="3"/>
  <c r="K84" i="3"/>
  <c r="L84" i="3"/>
  <c r="M84" i="3"/>
  <c r="N84" i="3"/>
  <c r="O84" i="3"/>
  <c r="K85" i="3"/>
  <c r="L85" i="3"/>
  <c r="M85" i="3"/>
  <c r="N85" i="3"/>
  <c r="O85" i="3"/>
  <c r="K87" i="3"/>
  <c r="L87" i="3"/>
  <c r="M87" i="3"/>
  <c r="N87" i="3"/>
  <c r="O87" i="3"/>
  <c r="K88" i="3"/>
  <c r="L88" i="3"/>
  <c r="M88" i="3"/>
  <c r="N88" i="3"/>
  <c r="O88" i="3"/>
  <c r="K89" i="3"/>
  <c r="L89" i="3"/>
  <c r="M89" i="3"/>
  <c r="N89" i="3"/>
  <c r="O89" i="3"/>
  <c r="K120" i="3"/>
  <c r="L120" i="3"/>
  <c r="M120" i="3"/>
  <c r="N120" i="3"/>
  <c r="O120" i="3"/>
  <c r="K129" i="3"/>
  <c r="L129" i="3"/>
  <c r="M129" i="3"/>
  <c r="N129" i="3"/>
  <c r="O129" i="3"/>
  <c r="L130" i="3"/>
  <c r="M130" i="3"/>
  <c r="N130" i="3"/>
  <c r="O130" i="3"/>
  <c r="K131" i="3"/>
  <c r="L131" i="3"/>
  <c r="M131" i="3"/>
  <c r="N131" i="3"/>
  <c r="O131" i="3"/>
  <c r="K132" i="3"/>
  <c r="L132" i="3"/>
  <c r="M132" i="3"/>
  <c r="N132" i="3"/>
  <c r="O132" i="3"/>
  <c r="L134" i="3"/>
  <c r="M134" i="3"/>
  <c r="N134" i="3"/>
  <c r="O134" i="3"/>
  <c r="K135" i="3"/>
  <c r="L135" i="3"/>
  <c r="M135" i="3"/>
  <c r="N135" i="3"/>
  <c r="O135" i="3"/>
  <c r="K136" i="3"/>
  <c r="L136" i="3"/>
  <c r="M136" i="3"/>
  <c r="N136" i="3"/>
  <c r="O136" i="3"/>
  <c r="L142" i="3"/>
  <c r="M142" i="3"/>
  <c r="N142" i="3"/>
  <c r="O142" i="3"/>
  <c r="L143" i="3"/>
  <c r="M143" i="3"/>
  <c r="N143" i="3"/>
  <c r="O143" i="3"/>
  <c r="K144" i="3"/>
  <c r="L144" i="3"/>
  <c r="M144" i="3"/>
  <c r="N144" i="3"/>
  <c r="O144" i="3"/>
  <c r="K146" i="3"/>
  <c r="L146" i="3"/>
  <c r="M146" i="3"/>
  <c r="N146" i="3"/>
  <c r="O146" i="3"/>
  <c r="K147" i="3"/>
  <c r="L147" i="3"/>
  <c r="M147" i="3"/>
  <c r="N147" i="3"/>
  <c r="O147" i="3"/>
  <c r="L148" i="3"/>
  <c r="M148" i="3"/>
  <c r="N148" i="3"/>
  <c r="O148" i="3"/>
  <c r="K149" i="3"/>
  <c r="L149" i="3"/>
  <c r="M149" i="3"/>
  <c r="N149" i="3"/>
  <c r="O149" i="3"/>
  <c r="L152" i="3"/>
  <c r="M152" i="3"/>
  <c r="N152" i="3"/>
  <c r="O152" i="3"/>
  <c r="L153" i="3"/>
  <c r="M153" i="3"/>
  <c r="N153" i="3"/>
  <c r="O153" i="3"/>
  <c r="K154" i="3"/>
  <c r="L154" i="3"/>
  <c r="M154" i="3"/>
  <c r="N154" i="3"/>
  <c r="O154" i="3"/>
  <c r="K155" i="3"/>
  <c r="L155" i="3"/>
  <c r="M155" i="3"/>
  <c r="N155" i="3"/>
  <c r="O155" i="3"/>
  <c r="K158" i="3"/>
  <c r="L158" i="3"/>
  <c r="M158" i="3"/>
  <c r="N158" i="3"/>
  <c r="O158" i="3"/>
  <c r="K159" i="3"/>
  <c r="L159" i="3"/>
  <c r="M159" i="3"/>
  <c r="N159" i="3"/>
  <c r="O159" i="3"/>
  <c r="K160" i="3"/>
  <c r="L160" i="3"/>
  <c r="M160" i="3"/>
  <c r="N160" i="3"/>
  <c r="O160" i="3"/>
  <c r="K172" i="3"/>
  <c r="L172" i="3"/>
  <c r="M172" i="3"/>
  <c r="N172" i="3"/>
  <c r="O172" i="3"/>
  <c r="K173" i="3"/>
  <c r="L173" i="3"/>
  <c r="M173" i="3"/>
  <c r="N173" i="3"/>
  <c r="O173" i="3"/>
  <c r="K174" i="3"/>
  <c r="L174" i="3"/>
  <c r="M174" i="3"/>
  <c r="N174" i="3"/>
  <c r="O174" i="3"/>
  <c r="K176" i="3"/>
  <c r="L176" i="3"/>
  <c r="M176" i="3"/>
  <c r="N176" i="3"/>
  <c r="O176" i="3"/>
  <c r="K177" i="3"/>
  <c r="L177" i="3"/>
  <c r="M177" i="3"/>
  <c r="N177" i="3"/>
  <c r="O177" i="3"/>
  <c r="K178" i="3"/>
  <c r="L178" i="3"/>
  <c r="M178" i="3"/>
  <c r="N178" i="3"/>
  <c r="O178" i="3"/>
  <c r="K179" i="3"/>
  <c r="L179" i="3"/>
  <c r="M179" i="3"/>
  <c r="N179" i="3"/>
  <c r="O179" i="3"/>
  <c r="K187" i="3"/>
  <c r="L187" i="3"/>
  <c r="M187" i="3"/>
  <c r="N187" i="3"/>
  <c r="O187" i="3"/>
  <c r="K188" i="3"/>
  <c r="L188" i="3"/>
  <c r="M188" i="3"/>
  <c r="N188" i="3"/>
  <c r="O188" i="3"/>
  <c r="K189" i="3"/>
  <c r="L189" i="3"/>
  <c r="M189" i="3"/>
  <c r="N189" i="3"/>
  <c r="O189" i="3"/>
  <c r="K190" i="3"/>
  <c r="L190" i="3"/>
  <c r="M190" i="3"/>
  <c r="N190" i="3"/>
  <c r="O190" i="3"/>
  <c r="K191" i="3"/>
  <c r="L191" i="3"/>
  <c r="M191" i="3"/>
  <c r="N191" i="3"/>
  <c r="O191" i="3"/>
  <c r="E194" i="3"/>
  <c r="F194" i="3"/>
  <c r="L194" i="3"/>
  <c r="E195" i="3"/>
  <c r="F195" i="3"/>
  <c r="M195" i="3"/>
  <c r="E196" i="3"/>
  <c r="F196" i="3"/>
  <c r="N196" i="3"/>
  <c r="B203" i="3"/>
  <c r="J203" i="3"/>
  <c r="B212" i="3"/>
  <c r="J212" i="3"/>
</calcChain>
</file>

<file path=xl/sharedStrings.xml><?xml version="1.0" encoding="utf-8"?>
<sst xmlns="http://schemas.openxmlformats.org/spreadsheetml/2006/main" count="192" uniqueCount="151">
  <si>
    <t>Income Statement</t>
  </si>
  <si>
    <t>x</t>
  </si>
  <si>
    <t>Year</t>
  </si>
  <si>
    <t>Cost of Goods Sold</t>
  </si>
  <si>
    <t>Gross Profit</t>
  </si>
  <si>
    <t>EBITDA</t>
  </si>
  <si>
    <t>Depreciation &amp; Amortization</t>
  </si>
  <si>
    <t>EBIT</t>
  </si>
  <si>
    <t>Interest Income</t>
  </si>
  <si>
    <t>Interest Expense</t>
  </si>
  <si>
    <t>Pre-Tax Income</t>
  </si>
  <si>
    <t>Taxes</t>
  </si>
  <si>
    <t>Net Income</t>
  </si>
  <si>
    <t>Balance Sheet</t>
  </si>
  <si>
    <t>Cash</t>
  </si>
  <si>
    <t>Accounts Receivable</t>
  </si>
  <si>
    <t>Inventory</t>
  </si>
  <si>
    <t>Other Current Assets</t>
  </si>
  <si>
    <t>Other Long-Term Assets</t>
  </si>
  <si>
    <t>Accounts Payable</t>
  </si>
  <si>
    <t>Debt</t>
  </si>
  <si>
    <t>Other Long-Term Liabilities</t>
  </si>
  <si>
    <t>Cash Flow Statement</t>
  </si>
  <si>
    <t>Debt Schedule</t>
  </si>
  <si>
    <t>Interest Schedule</t>
  </si>
  <si>
    <t>Sensitivity Analyses</t>
  </si>
  <si>
    <t>Assumptions and Inputs</t>
  </si>
  <si>
    <t>Exit Valuation and Returns Schedule</t>
  </si>
  <si>
    <t>Sources &amp; Uses</t>
  </si>
  <si>
    <t>Sources</t>
  </si>
  <si>
    <t>Uses</t>
  </si>
  <si>
    <t>Total Sources</t>
  </si>
  <si>
    <t>Total Uses</t>
  </si>
  <si>
    <t>Revolver</t>
  </si>
  <si>
    <t>Tranche</t>
  </si>
  <si>
    <t>Floor</t>
  </si>
  <si>
    <t>Amount</t>
  </si>
  <si>
    <t>Unitranche Term Loan</t>
  </si>
  <si>
    <t>Debt Assumptions</t>
  </si>
  <si>
    <t>Total</t>
  </si>
  <si>
    <t>Int. Rate</t>
  </si>
  <si>
    <t>x EBITDA</t>
  </si>
  <si>
    <t>Unused Revolver Fee</t>
  </si>
  <si>
    <t>Roll-over Equity</t>
  </si>
  <si>
    <t>WSPCP Equity</t>
  </si>
  <si>
    <t>Purchase Price</t>
  </si>
  <si>
    <t>Purchase EBITDA</t>
  </si>
  <si>
    <t>Total Enterprise Value</t>
  </si>
  <si>
    <t>$</t>
  </si>
  <si>
    <t>%</t>
  </si>
  <si>
    <t>Less: Debt</t>
  </si>
  <si>
    <t>Plus: Cash</t>
  </si>
  <si>
    <t>Equity Value to Sellers</t>
  </si>
  <si>
    <t>Management Fee</t>
  </si>
  <si>
    <t>Ownership</t>
  </si>
  <si>
    <t>Proceeds</t>
  </si>
  <si>
    <t>Transaction Fees</t>
  </si>
  <si>
    <t>Cash to Balance Sheet</t>
  </si>
  <si>
    <t>Minimum Cash</t>
  </si>
  <si>
    <t>$ in millions</t>
  </si>
  <si>
    <t>Financing Fees</t>
  </si>
  <si>
    <t>Pro Forma Ownership</t>
  </si>
  <si>
    <t>Total Equity</t>
  </si>
  <si>
    <t>Minimum $</t>
  </si>
  <si>
    <t>Management Fee % of EBITDA</t>
  </si>
  <si>
    <t>Capital Expenditures</t>
  </si>
  <si>
    <t>Cash Flow from Investing Activities</t>
  </si>
  <si>
    <t>Mandatory Repayment of Debt</t>
  </si>
  <si>
    <t>Optional Repayment of Debt</t>
  </si>
  <si>
    <t>Net Change in Cash</t>
  </si>
  <si>
    <t>Cash, Beginning</t>
  </si>
  <si>
    <t>Cash, Ending</t>
  </si>
  <si>
    <t>Equity Value to Sellers &amp; Roll-over Proceeds</t>
  </si>
  <si>
    <t>Drivers</t>
  </si>
  <si>
    <t>Gross Margin</t>
  </si>
  <si>
    <t>Step</t>
  </si>
  <si>
    <t>Sales &amp; Marketing % of Revenue</t>
  </si>
  <si>
    <t>Revenue</t>
  </si>
  <si>
    <t>Revenue growth</t>
  </si>
  <si>
    <t>Capital Expenditures % of Revenue</t>
  </si>
  <si>
    <t>Depreciation % of Revenue</t>
  </si>
  <si>
    <t>Depreciation</t>
  </si>
  <si>
    <t>Amortization of Deferred Financing Fees</t>
  </si>
  <si>
    <t>Beginning Balance</t>
  </si>
  <si>
    <t>Exit Multiple</t>
  </si>
  <si>
    <t>Enterprise Value</t>
  </si>
  <si>
    <t>Equity Value</t>
  </si>
  <si>
    <t>Cash Flow to Equity</t>
  </si>
  <si>
    <t>Initial</t>
  </si>
  <si>
    <t>MOIC</t>
  </si>
  <si>
    <t>IRR</t>
  </si>
  <si>
    <t>Exit Assumptions</t>
  </si>
  <si>
    <t>Exit Year for Sensitivity Tables</t>
  </si>
  <si>
    <t>Entry Multiple</t>
  </si>
  <si>
    <t>LIBOR (bps)</t>
  </si>
  <si>
    <t>Effective Interest Rate</t>
  </si>
  <si>
    <t>Memo: Cash Interest Expense</t>
  </si>
  <si>
    <t>Borrowings / (Repayments) Under Revolver</t>
  </si>
  <si>
    <t>Revolver Beginning Balance</t>
  </si>
  <si>
    <t>Borrowings / (Repayments)</t>
  </si>
  <si>
    <t>Revolver Ending Balance</t>
  </si>
  <si>
    <t>Beginning Undrawn Balance</t>
  </si>
  <si>
    <t>Ending Undrawn Balance</t>
  </si>
  <si>
    <t>Less: Minimum Cash</t>
  </si>
  <si>
    <t>Plus: Beginning Cash</t>
  </si>
  <si>
    <t>Plus: Free Cash Flow before Revolver</t>
  </si>
  <si>
    <t>Revolver Facility</t>
  </si>
  <si>
    <t>Total Debt</t>
  </si>
  <si>
    <t>Ending Balance</t>
  </si>
  <si>
    <t>Less: Mandatory Repayment</t>
  </si>
  <si>
    <t>Less: Optional Repayment</t>
  </si>
  <si>
    <t>Financing Fee Amortization (years)</t>
  </si>
  <si>
    <t>Interest Expense, net</t>
  </si>
  <si>
    <t>Interest Expense, gross</t>
  </si>
  <si>
    <t>Interest Rate on Cash</t>
  </si>
  <si>
    <t>Tax Rate</t>
  </si>
  <si>
    <t>Other Financing Assumptions</t>
  </si>
  <si>
    <r>
      <t xml:space="preserve">Circuit Breaker </t>
    </r>
    <r>
      <rPr>
        <sz val="8"/>
        <rFont val="Arial"/>
        <family val="2"/>
      </rPr>
      <t>(1=Avg Interest, 0=Beg Int.)</t>
    </r>
  </si>
  <si>
    <t>% Amort</t>
  </si>
  <si>
    <t>% Sweep</t>
  </si>
  <si>
    <t>Entry EBITDA Multiple</t>
  </si>
  <si>
    <t>Current</t>
  </si>
  <si>
    <t>Pro Forma</t>
  </si>
  <si>
    <t>Rolled</t>
  </si>
  <si>
    <t>Less: Interest Income</t>
  </si>
  <si>
    <t>Exit EBITDA Multiple</t>
  </si>
  <si>
    <t>% growth</t>
  </si>
  <si>
    <t>% margin</t>
  </si>
  <si>
    <t>Net Debt</t>
  </si>
  <si>
    <t>Cash Flow</t>
  </si>
  <si>
    <t>Credit Metrics</t>
  </si>
  <si>
    <t>Debt / EBITDA</t>
  </si>
  <si>
    <t>EBITDA / Cash Interest Expense</t>
  </si>
  <si>
    <t>Summary Projected Financials</t>
  </si>
  <si>
    <t>Summary Returns</t>
  </si>
  <si>
    <t>Management Option Pool</t>
  </si>
  <si>
    <t>Less: Management Option Pool</t>
  </si>
  <si>
    <t>Equity Value to Roll-over and WSPCP</t>
  </si>
  <si>
    <t>Balance Sheet Items &amp; CapEx</t>
  </si>
  <si>
    <t>CA + LTA (Ex PP&amp;E)</t>
  </si>
  <si>
    <t>Rev</t>
  </si>
  <si>
    <t>Change in CA + LTA</t>
  </si>
  <si>
    <t>Change in CL + LTL</t>
  </si>
  <si>
    <t>Change in NWC (Incl LTA/LTL)</t>
  </si>
  <si>
    <t>Cash Flow from Financing Activities</t>
  </si>
  <si>
    <t>CL + LTL</t>
  </si>
  <si>
    <t>Mini-Model</t>
  </si>
  <si>
    <t>SG&amp;A (OpEx)</t>
  </si>
  <si>
    <t>Zachary</t>
  </si>
  <si>
    <t>Other Mgmt</t>
  </si>
  <si>
    <t>Accrued Liabilities &amp;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</si>
</sst>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7" formatCode="&quot;$&quot;#,##0.00_);\(&quot;$&quot;#,##0.00\)"/>
    <numFmt numFmtId="44" formatCode="_(&quot;$&quot;* #,##0.00_);_(&quot;$&quot;* \(#,##0.00\);_(&quot;$&quot;* &quot;-&quot;??_);_(@_)"/>
    <numFmt numFmtId="164" formatCode="0000&quot;A&quot;_)"/>
    <numFmt numFmtId="165" formatCode="0000&quot;P&quot;_)"/>
    <numFmt numFmtId="166" formatCode="&quot;$&quot;#,##0.0_);\(&quot;$&quot;#,##0.0\);&quot;--&quot;_);@_)"/>
    <numFmt numFmtId="167" formatCode="#,##0.0_);\(#,##0.0\);&quot;--&quot;_);@_)"/>
    <numFmt numFmtId="168" formatCode="#,##0.0_);\(#,##0.0\);@_)"/>
    <numFmt numFmtId="169" formatCode="0000&quot;PF&quot;_)"/>
    <numFmt numFmtId="170" formatCode="&quot;$&quot;#,##0.0_);\(&quot;$&quot;#,##0.0\)"/>
    <numFmt numFmtId="171" formatCode="0.0\ \x_);\(0.0\ \x\);&quot;--&quot;_ _x_);@_ _x_)"/>
    <numFmt numFmtId="172" formatCode="&quot;L+&quot;#,##0_);\(#,##0\);&quot;--&quot;_);@_)"/>
    <numFmt numFmtId="173" formatCode="#,##0.00%_);\(#,##0.00%\);&quot;--&quot;_%_);@_%_)"/>
    <numFmt numFmtId="174" formatCode="#,##0%_);\(#,##0%\);&quot;--&quot;_%_);@_%_)"/>
    <numFmt numFmtId="175" formatCode="#,##0.0%_);\(#,##0.0%\);&quot;--&quot;_%_);@_%_)"/>
    <numFmt numFmtId="176" formatCode="General_)"/>
    <numFmt numFmtId="177" formatCode="#,##0_);\(#,##0\);&quot;--&quot;_);@_)"/>
    <numFmt numFmtId="178" formatCode="0.0_);\(0.0\);&quot;--&quot;_);@_)"/>
    <numFmt numFmtId="179" formatCode="0.00\ \x_);\(0.00\ \x\);&quot;--&quot;_ _x_);@_ _x_)"/>
    <numFmt numFmtId="180" formatCode="0.0_ _x_);\(0.0\ \x\);&quot;--&quot;_ _x_);@_ _x_)"/>
    <numFmt numFmtId="181" formatCode="_(&quot;$&quot;* #,##0.0_);_(&quot;$&quot;* \(#,##0.0\);_(&quot;$&quot;* &quot;--&quot;_);_(@_)"/>
    <numFmt numFmtId="182" formatCode="_([$$]#,##0.0_);\([$$]#,##0.0\);_(&quot;–&quot;_)_%;_(@_)_%"/>
    <numFmt numFmtId="183" formatCode="_(#,##0.0%_);\(#,##0.0%\);_(&quot;–&quot;_)_%;_(@_)_%"/>
    <numFmt numFmtId="184" formatCode="#,##0_);\(#,##0\);_(&quot;–&quot;_)_%;_(@_)_%"/>
    <numFmt numFmtId="185" formatCode="#,##0.00000_);\(#,##0.00000\)"/>
    <numFmt numFmtId="186" formatCode="#,##0.00_);\(#,##0.00\);_(&quot;–&quot;_)_%;_(@_)_%"/>
    <numFmt numFmtId="187" formatCode="#,##0.0000000_);\(#,##0.0000000\)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i/>
      <sz val="14"/>
      <color indexed="12"/>
      <name val="Arial"/>
      <family val="2"/>
    </font>
    <font>
      <i/>
      <sz val="10"/>
      <color indexed="12"/>
      <name val="Arial"/>
      <family val="2"/>
    </font>
    <font>
      <sz val="18"/>
      <color indexed="12"/>
      <name val="Arial"/>
      <family val="2"/>
    </font>
    <font>
      <sz val="11"/>
      <color indexed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b/>
      <sz val="12"/>
      <name val="Arial Narrow"/>
      <family val="2"/>
    </font>
    <font>
      <i/>
      <sz val="10"/>
      <name val="Arial"/>
      <family val="2"/>
    </font>
    <font>
      <i/>
      <sz val="8"/>
      <name val="Arial"/>
      <family val="2"/>
    </font>
    <font>
      <i/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u/>
      <sz val="10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17"/>
      <name val="Arial"/>
      <family val="2"/>
    </font>
    <font>
      <sz val="10"/>
      <color theme="0" tint="-0.14999847407452621"/>
      <name val="Arial"/>
      <family val="2"/>
    </font>
    <font>
      <sz val="10"/>
      <color rgb="FF0000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FE9F4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/>
    <xf numFmtId="44" fontId="21" fillId="0" borderId="0" applyFont="0" applyFill="0" applyBorder="0" applyAlignment="0" applyProtection="0"/>
  </cellStyleXfs>
  <cellXfs count="199">
    <xf numFmtId="0" fontId="0" fillId="0" borderId="0" xfId="0"/>
    <xf numFmtId="0" fontId="4" fillId="0" borderId="1" xfId="1" applyFont="1" applyBorder="1" applyAlignment="1">
      <alignment horizontal="left"/>
    </xf>
    <xf numFmtId="0" fontId="6" fillId="0" borderId="0" xfId="1" applyFont="1" applyFill="1" applyBorder="1" applyAlignment="1"/>
    <xf numFmtId="0" fontId="7" fillId="0" borderId="0" xfId="0" applyFont="1"/>
    <xf numFmtId="0" fontId="7" fillId="0" borderId="1" xfId="0" applyFont="1" applyBorder="1"/>
    <xf numFmtId="0" fontId="8" fillId="0" borderId="0" xfId="0" applyFont="1"/>
    <xf numFmtId="0" fontId="3" fillId="0" borderId="0" xfId="0" applyNumberFormat="1" applyFont="1" applyBorder="1" applyAlignment="1"/>
    <xf numFmtId="0" fontId="3" fillId="0" borderId="2" xfId="0" applyNumberFormat="1" applyFont="1" applyBorder="1" applyAlignment="1"/>
    <xf numFmtId="0" fontId="11" fillId="0" borderId="0" xfId="0" applyFont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/>
    <xf numFmtId="166" fontId="8" fillId="0" borderId="0" xfId="0" applyNumberFormat="1" applyFont="1"/>
    <xf numFmtId="167" fontId="8" fillId="0" borderId="0" xfId="0" applyNumberFormat="1" applyFont="1"/>
    <xf numFmtId="166" fontId="3" fillId="0" borderId="4" xfId="0" applyNumberFormat="1" applyFont="1" applyBorder="1"/>
    <xf numFmtId="168" fontId="8" fillId="0" borderId="0" xfId="0" applyNumberFormat="1" applyFont="1"/>
    <xf numFmtId="166" fontId="9" fillId="2" borderId="5" xfId="0" applyNumberFormat="1" applyFont="1" applyFill="1" applyBorder="1"/>
    <xf numFmtId="0" fontId="9" fillId="0" borderId="3" xfId="0" applyNumberFormat="1" applyFont="1" applyFill="1" applyBorder="1" applyAlignment="1"/>
    <xf numFmtId="0" fontId="3" fillId="0" borderId="3" xfId="0" applyNumberFormat="1" applyFont="1" applyFill="1" applyBorder="1" applyAlignment="1"/>
    <xf numFmtId="164" fontId="10" fillId="0" borderId="3" xfId="0" applyNumberFormat="1" applyFont="1" applyFill="1" applyBorder="1" applyAlignment="1"/>
    <xf numFmtId="165" fontId="9" fillId="0" borderId="3" xfId="0" applyNumberFormat="1" applyFont="1" applyFill="1" applyBorder="1" applyAlignment="1"/>
    <xf numFmtId="0" fontId="9" fillId="0" borderId="5" xfId="0" applyFont="1" applyFill="1" applyBorder="1" applyAlignment="1">
      <alignment horizontal="left"/>
    </xf>
    <xf numFmtId="166" fontId="9" fillId="0" borderId="5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left"/>
    </xf>
    <xf numFmtId="167" fontId="8" fillId="0" borderId="0" xfId="0" applyNumberFormat="1" applyFont="1" applyFill="1"/>
    <xf numFmtId="166" fontId="3" fillId="0" borderId="4" xfId="0" applyNumberFormat="1" applyFont="1" applyFill="1" applyBorder="1"/>
    <xf numFmtId="0" fontId="3" fillId="0" borderId="0" xfId="0" applyFont="1" applyFill="1"/>
    <xf numFmtId="168" fontId="3" fillId="0" borderId="0" xfId="0" applyNumberFormat="1" applyFont="1" applyFill="1"/>
    <xf numFmtId="167" fontId="15" fillId="0" borderId="0" xfId="0" applyNumberFormat="1" applyFont="1" applyBorder="1" applyAlignment="1"/>
    <xf numFmtId="166" fontId="3" fillId="0" borderId="0" xfId="0" applyNumberFormat="1" applyFont="1" applyFill="1"/>
    <xf numFmtId="167" fontId="3" fillId="0" borderId="0" xfId="0" applyNumberFormat="1" applyFont="1" applyFill="1"/>
    <xf numFmtId="0" fontId="13" fillId="3" borderId="2" xfId="0" applyNumberFormat="1" applyFont="1" applyFill="1" applyBorder="1" applyAlignment="1"/>
    <xf numFmtId="0" fontId="3" fillId="3" borderId="2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/>
    <xf numFmtId="0" fontId="3" fillId="0" borderId="2" xfId="0" applyNumberFormat="1" applyFont="1" applyFill="1" applyBorder="1" applyAlignment="1"/>
    <xf numFmtId="0" fontId="3" fillId="0" borderId="0" xfId="0" applyNumberFormat="1" applyFont="1" applyFill="1" applyBorder="1" applyAlignment="1"/>
    <xf numFmtId="0" fontId="9" fillId="0" borderId="0" xfId="0" applyNumberFormat="1" applyFont="1" applyFill="1" applyBorder="1" applyAlignment="1"/>
    <xf numFmtId="165" fontId="9" fillId="0" borderId="0" xfId="0" applyNumberFormat="1" applyFont="1" applyFill="1" applyBorder="1" applyAlignment="1"/>
    <xf numFmtId="164" fontId="9" fillId="0" borderId="3" xfId="0" applyNumberFormat="1" applyFont="1" applyFill="1" applyBorder="1" applyAlignment="1"/>
    <xf numFmtId="167" fontId="9" fillId="0" borderId="3" xfId="0" applyNumberFormat="1" applyFont="1" applyFill="1" applyBorder="1" applyAlignment="1">
      <alignment horizontal="right"/>
    </xf>
    <xf numFmtId="169" fontId="9" fillId="0" borderId="3" xfId="0" applyNumberFormat="1" applyFont="1" applyFill="1" applyBorder="1" applyAlignment="1"/>
    <xf numFmtId="166" fontId="9" fillId="0" borderId="5" xfId="0" applyNumberFormat="1" applyFont="1" applyFill="1" applyBorder="1" applyAlignment="1">
      <alignment horizontal="right"/>
    </xf>
    <xf numFmtId="0" fontId="8" fillId="0" borderId="0" xfId="0" applyNumberFormat="1" applyFont="1" applyBorder="1" applyAlignment="1"/>
    <xf numFmtId="167" fontId="14" fillId="0" borderId="3" xfId="0" applyNumberFormat="1" applyFont="1" applyBorder="1" applyAlignment="1">
      <alignment horizontal="right"/>
    </xf>
    <xf numFmtId="0" fontId="9" fillId="0" borderId="2" xfId="0" applyNumberFormat="1" applyFont="1" applyBorder="1" applyAlignment="1"/>
    <xf numFmtId="0" fontId="9" fillId="0" borderId="0" xfId="0" applyNumberFormat="1" applyFont="1" applyBorder="1" applyAlignment="1"/>
    <xf numFmtId="0" fontId="14" fillId="0" borderId="3" xfId="0" applyNumberFormat="1" applyFont="1" applyBorder="1" applyAlignment="1"/>
    <xf numFmtId="171" fontId="8" fillId="0" borderId="0" xfId="0" applyNumberFormat="1" applyFont="1" applyBorder="1" applyAlignment="1"/>
    <xf numFmtId="166" fontId="3" fillId="0" borderId="0" xfId="0" applyNumberFormat="1" applyFont="1" applyBorder="1" applyAlignment="1"/>
    <xf numFmtId="167" fontId="3" fillId="0" borderId="0" xfId="0" applyNumberFormat="1" applyFont="1" applyBorder="1" applyAlignment="1"/>
    <xf numFmtId="172" fontId="8" fillId="0" borderId="0" xfId="0" applyNumberFormat="1" applyFont="1" applyBorder="1" applyAlignment="1"/>
    <xf numFmtId="9" fontId="3" fillId="0" borderId="0" xfId="0" applyNumberFormat="1" applyFont="1" applyBorder="1" applyAlignment="1"/>
    <xf numFmtId="9" fontId="8" fillId="0" borderId="0" xfId="0" applyNumberFormat="1" applyFont="1" applyBorder="1" applyAlignment="1"/>
    <xf numFmtId="173" fontId="8" fillId="0" borderId="0" xfId="0" applyNumberFormat="1" applyFont="1" applyBorder="1" applyAlignment="1"/>
    <xf numFmtId="0" fontId="9" fillId="0" borderId="5" xfId="0" applyNumberFormat="1" applyFont="1" applyBorder="1" applyAlignment="1"/>
    <xf numFmtId="170" fontId="9" fillId="0" borderId="5" xfId="0" applyNumberFormat="1" applyFont="1" applyBorder="1" applyAlignment="1"/>
    <xf numFmtId="170" fontId="3" fillId="0" borderId="0" xfId="0" applyNumberFormat="1" applyFont="1" applyBorder="1" applyAlignment="1"/>
    <xf numFmtId="0" fontId="3" fillId="0" borderId="5" xfId="0" applyFont="1" applyFill="1" applyBorder="1" applyAlignment="1">
      <alignment horizontal="left"/>
    </xf>
    <xf numFmtId="166" fontId="3" fillId="0" borderId="5" xfId="0" applyNumberFormat="1" applyFont="1" applyFill="1" applyBorder="1" applyAlignment="1">
      <alignment horizontal="right"/>
    </xf>
    <xf numFmtId="0" fontId="9" fillId="2" borderId="5" xfId="0" applyFont="1" applyFill="1" applyBorder="1"/>
    <xf numFmtId="0" fontId="16" fillId="0" borderId="0" xfId="0" applyNumberFormat="1" applyFont="1" applyBorder="1" applyAlignment="1"/>
    <xf numFmtId="167" fontId="16" fillId="0" borderId="0" xfId="0" applyNumberFormat="1" applyFont="1" applyBorder="1" applyAlignment="1">
      <alignment horizontal="right"/>
    </xf>
    <xf numFmtId="174" fontId="3" fillId="0" borderId="5" xfId="0" applyNumberFormat="1" applyFont="1" applyFill="1" applyBorder="1" applyAlignment="1">
      <alignment horizontal="right"/>
    </xf>
    <xf numFmtId="174" fontId="8" fillId="0" borderId="0" xfId="0" applyNumberFormat="1" applyFont="1" applyBorder="1" applyAlignment="1"/>
    <xf numFmtId="166" fontId="8" fillId="0" borderId="0" xfId="0" applyNumberFormat="1" applyFont="1" applyBorder="1" applyAlignment="1"/>
    <xf numFmtId="0" fontId="15" fillId="0" borderId="0" xfId="0" applyFont="1"/>
    <xf numFmtId="167" fontId="8" fillId="0" borderId="0" xfId="0" applyNumberFormat="1" applyFont="1" applyBorder="1" applyAlignment="1"/>
    <xf numFmtId="174" fontId="3" fillId="0" borderId="0" xfId="0" applyNumberFormat="1" applyFont="1" applyBorder="1" applyAlignment="1"/>
    <xf numFmtId="167" fontId="14" fillId="0" borderId="0" xfId="0" applyNumberFormat="1" applyFont="1" applyFill="1" applyBorder="1" applyAlignment="1">
      <alignment horizontal="right"/>
    </xf>
    <xf numFmtId="167" fontId="14" fillId="0" borderId="2" xfId="0" applyNumberFormat="1" applyFont="1" applyFill="1" applyBorder="1" applyAlignment="1">
      <alignment horizontal="right"/>
    </xf>
    <xf numFmtId="171" fontId="3" fillId="0" borderId="0" xfId="0" applyNumberFormat="1" applyFont="1" applyBorder="1" applyAlignment="1"/>
    <xf numFmtId="171" fontId="9" fillId="0" borderId="5" xfId="0" applyNumberFormat="1" applyFont="1" applyFill="1" applyBorder="1" applyAlignment="1">
      <alignment horizontal="right"/>
    </xf>
    <xf numFmtId="167" fontId="14" fillId="0" borderId="3" xfId="0" applyNumberFormat="1" applyFont="1" applyFill="1" applyBorder="1" applyAlignment="1">
      <alignment horizontal="right"/>
    </xf>
    <xf numFmtId="174" fontId="9" fillId="0" borderId="5" xfId="0" applyNumberFormat="1" applyFont="1" applyFill="1" applyBorder="1" applyAlignment="1">
      <alignment horizontal="right"/>
    </xf>
    <xf numFmtId="0" fontId="14" fillId="0" borderId="0" xfId="0" applyNumberFormat="1" applyFont="1" applyBorder="1" applyAlignment="1"/>
    <xf numFmtId="175" fontId="8" fillId="0" borderId="0" xfId="0" applyNumberFormat="1" applyFont="1" applyBorder="1" applyAlignment="1"/>
    <xf numFmtId="175" fontId="3" fillId="0" borderId="0" xfId="0" applyNumberFormat="1" applyFont="1" applyBorder="1" applyAlignment="1"/>
    <xf numFmtId="173" fontId="5" fillId="0" borderId="0" xfId="0" applyNumberFormat="1" applyFont="1" applyBorder="1" applyAlignment="1"/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7" fontId="14" fillId="0" borderId="0" xfId="0" applyNumberFormat="1" applyFont="1" applyBorder="1" applyAlignment="1">
      <alignment horizontal="right"/>
    </xf>
    <xf numFmtId="0" fontId="3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167" fontId="16" fillId="2" borderId="7" xfId="0" applyNumberFormat="1" applyFont="1" applyFill="1" applyBorder="1" applyAlignment="1">
      <alignment horizontal="right"/>
    </xf>
    <xf numFmtId="167" fontId="16" fillId="2" borderId="8" xfId="0" applyNumberFormat="1" applyFont="1" applyFill="1" applyBorder="1" applyAlignment="1">
      <alignment horizontal="right"/>
    </xf>
    <xf numFmtId="171" fontId="3" fillId="2" borderId="9" xfId="0" applyNumberFormat="1" applyFont="1" applyFill="1" applyBorder="1" applyAlignment="1"/>
    <xf numFmtId="171" fontId="3" fillId="2" borderId="11" xfId="0" applyNumberFormat="1" applyFont="1" applyFill="1" applyBorder="1" applyAlignment="1"/>
    <xf numFmtId="166" fontId="3" fillId="0" borderId="5" xfId="0" applyNumberFormat="1" applyFont="1" applyFill="1" applyBorder="1"/>
    <xf numFmtId="0" fontId="3" fillId="0" borderId="0" xfId="0" applyNumberFormat="1" applyFont="1" applyBorder="1" applyAlignment="1">
      <alignment horizontal="centerContinuous"/>
    </xf>
    <xf numFmtId="171" fontId="10" fillId="0" borderId="3" xfId="0" applyNumberFormat="1" applyFont="1" applyBorder="1" applyAlignment="1"/>
    <xf numFmtId="171" fontId="10" fillId="0" borderId="13" xfId="0" applyNumberFormat="1" applyFont="1" applyBorder="1" applyAlignment="1"/>
    <xf numFmtId="176" fontId="8" fillId="0" borderId="0" xfId="0" applyNumberFormat="1" applyFont="1" applyBorder="1" applyAlignment="1"/>
    <xf numFmtId="0" fontId="9" fillId="2" borderId="0" xfId="0" applyNumberFormat="1" applyFont="1" applyFill="1" applyBorder="1" applyAlignment="1">
      <alignment horizontal="centerContinuous"/>
    </xf>
    <xf numFmtId="0" fontId="3" fillId="2" borderId="0" xfId="0" applyNumberFormat="1" applyFont="1" applyFill="1" applyBorder="1" applyAlignment="1">
      <alignment horizontal="centerContinuous"/>
    </xf>
    <xf numFmtId="0" fontId="14" fillId="0" borderId="0" xfId="0" applyNumberFormat="1" applyFont="1" applyBorder="1" applyAlignment="1">
      <alignment horizontal="centerContinuous"/>
    </xf>
    <xf numFmtId="0" fontId="14" fillId="0" borderId="3" xfId="0" applyNumberFormat="1" applyFont="1" applyBorder="1" applyAlignment="1">
      <alignment horizontal="centerContinuous"/>
    </xf>
    <xf numFmtId="0" fontId="3" fillId="0" borderId="3" xfId="0" applyNumberFormat="1" applyFont="1" applyBorder="1" applyAlignment="1">
      <alignment horizontal="centerContinuous"/>
    </xf>
    <xf numFmtId="0" fontId="18" fillId="0" borderId="3" xfId="0" applyNumberFormat="1" applyFont="1" applyBorder="1" applyAlignment="1">
      <alignment horizontal="centerContinuous"/>
    </xf>
    <xf numFmtId="177" fontId="8" fillId="0" borderId="0" xfId="0" applyNumberFormat="1" applyFont="1" applyBorder="1" applyAlignment="1"/>
    <xf numFmtId="177" fontId="5" fillId="0" borderId="0" xfId="0" applyNumberFormat="1" applyFont="1" applyBorder="1" applyAlignment="1"/>
    <xf numFmtId="177" fontId="3" fillId="0" borderId="0" xfId="0" applyNumberFormat="1" applyFont="1" applyBorder="1" applyAlignment="1"/>
    <xf numFmtId="172" fontId="3" fillId="0" borderId="0" xfId="0" applyNumberFormat="1" applyFont="1" applyBorder="1" applyAlignment="1"/>
    <xf numFmtId="173" fontId="3" fillId="0" borderId="0" xfId="0" applyNumberFormat="1" applyFont="1" applyBorder="1" applyAlignment="1"/>
    <xf numFmtId="178" fontId="19" fillId="0" borderId="0" xfId="0" applyNumberFormat="1" applyFont="1"/>
    <xf numFmtId="178" fontId="1" fillId="0" borderId="0" xfId="0" applyNumberFormat="1" applyFont="1"/>
    <xf numFmtId="178" fontId="1" fillId="0" borderId="4" xfId="0" applyNumberFormat="1" applyFont="1" applyBorder="1"/>
    <xf numFmtId="178" fontId="20" fillId="0" borderId="0" xfId="0" applyNumberFormat="1" applyFont="1"/>
    <xf numFmtId="166" fontId="1" fillId="0" borderId="4" xfId="0" applyNumberFormat="1" applyFont="1" applyBorder="1"/>
    <xf numFmtId="166" fontId="15" fillId="0" borderId="0" xfId="0" applyNumberFormat="1" applyFont="1" applyBorder="1" applyAlignment="1"/>
    <xf numFmtId="0" fontId="3" fillId="0" borderId="0" xfId="0" applyFont="1" applyFill="1" applyBorder="1" applyAlignment="1">
      <alignment horizontal="left"/>
    </xf>
    <xf numFmtId="166" fontId="3" fillId="0" borderId="0" xfId="0" applyNumberFormat="1" applyFont="1" applyFill="1" applyBorder="1"/>
    <xf numFmtId="167" fontId="3" fillId="0" borderId="0" xfId="0" applyNumberFormat="1" applyFont="1" applyFill="1" applyBorder="1"/>
    <xf numFmtId="0" fontId="15" fillId="0" borderId="0" xfId="0" applyNumberFormat="1" applyFont="1" applyFill="1" applyBorder="1" applyAlignment="1"/>
    <xf numFmtId="0" fontId="12" fillId="0" borderId="0" xfId="0" applyNumberFormat="1" applyFont="1" applyBorder="1" applyAlignment="1"/>
    <xf numFmtId="166" fontId="8" fillId="0" borderId="0" xfId="0" applyNumberFormat="1" applyFont="1" applyFill="1" applyBorder="1" applyAlignment="1"/>
    <xf numFmtId="173" fontId="8" fillId="0" borderId="0" xfId="0" applyNumberFormat="1" applyFont="1" applyFill="1" applyBorder="1" applyAlignment="1"/>
    <xf numFmtId="177" fontId="8" fillId="0" borderId="0" xfId="0" applyNumberFormat="1" applyFont="1" applyFill="1" applyBorder="1" applyAlignment="1"/>
    <xf numFmtId="174" fontId="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179" fontId="10" fillId="0" borderId="13" xfId="0" applyNumberFormat="1" applyFont="1" applyBorder="1" applyAlignment="1"/>
    <xf numFmtId="167" fontId="3" fillId="0" borderId="0" xfId="0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167" fontId="3" fillId="0" borderId="0" xfId="0" applyNumberFormat="1" applyFont="1" applyFill="1" applyBorder="1" applyAlignment="1"/>
    <xf numFmtId="0" fontId="15" fillId="0" borderId="0" xfId="0" applyNumberFormat="1" applyFont="1" applyBorder="1" applyAlignment="1">
      <alignment horizontal="left" indent="1"/>
    </xf>
    <xf numFmtId="175" fontId="15" fillId="0" borderId="0" xfId="0" applyNumberFormat="1" applyFont="1" applyBorder="1" applyAlignment="1"/>
    <xf numFmtId="0" fontId="9" fillId="2" borderId="4" xfId="0" applyNumberFormat="1" applyFont="1" applyFill="1" applyBorder="1" applyAlignment="1"/>
    <xf numFmtId="0" fontId="15" fillId="2" borderId="0" xfId="0" applyNumberFormat="1" applyFont="1" applyFill="1" applyBorder="1" applyAlignment="1">
      <alignment horizontal="left" indent="1"/>
    </xf>
    <xf numFmtId="0" fontId="3" fillId="2" borderId="0" xfId="0" applyNumberFormat="1" applyFont="1" applyFill="1" applyBorder="1" applyAlignment="1"/>
    <xf numFmtId="175" fontId="15" fillId="2" borderId="0" xfId="0" applyNumberFormat="1" applyFont="1" applyFill="1" applyBorder="1" applyAlignment="1"/>
    <xf numFmtId="0" fontId="15" fillId="2" borderId="6" xfId="0" applyNumberFormat="1" applyFont="1" applyFill="1" applyBorder="1" applyAlignment="1">
      <alignment horizontal="left" indent="1"/>
    </xf>
    <xf numFmtId="0" fontId="3" fillId="2" borderId="6" xfId="0" applyNumberFormat="1" applyFont="1" applyFill="1" applyBorder="1" applyAlignment="1"/>
    <xf numFmtId="175" fontId="15" fillId="2" borderId="6" xfId="0" applyNumberFormat="1" applyFont="1" applyFill="1" applyBorder="1" applyAlignment="1"/>
    <xf numFmtId="175" fontId="15" fillId="0" borderId="0" xfId="0" applyNumberFormat="1" applyFont="1" applyFill="1" applyBorder="1" applyAlignment="1"/>
    <xf numFmtId="0" fontId="3" fillId="0" borderId="4" xfId="0" applyNumberFormat="1" applyFont="1" applyBorder="1" applyAlignment="1"/>
    <xf numFmtId="0" fontId="3" fillId="3" borderId="0" xfId="0" applyNumberFormat="1" applyFont="1" applyFill="1" applyBorder="1" applyAlignment="1"/>
    <xf numFmtId="0" fontId="13" fillId="3" borderId="0" xfId="0" applyNumberFormat="1" applyFont="1" applyFill="1" applyBorder="1" applyAlignment="1"/>
    <xf numFmtId="0" fontId="3" fillId="0" borderId="14" xfId="0" applyNumberFormat="1" applyFont="1" applyBorder="1" applyAlignment="1"/>
    <xf numFmtId="0" fontId="22" fillId="0" borderId="14" xfId="0" applyNumberFormat="1" applyFont="1" applyBorder="1" applyAlignment="1"/>
    <xf numFmtId="164" fontId="22" fillId="0" borderId="14" xfId="0" applyNumberFormat="1" applyFont="1" applyFill="1" applyBorder="1" applyAlignment="1"/>
    <xf numFmtId="165" fontId="22" fillId="0" borderId="14" xfId="0" applyNumberFormat="1" applyFont="1" applyFill="1" applyBorder="1" applyAlignment="1"/>
    <xf numFmtId="166" fontId="3" fillId="0" borderId="16" xfId="0" applyNumberFormat="1" applyFont="1" applyFill="1" applyBorder="1"/>
    <xf numFmtId="166" fontId="3" fillId="0" borderId="15" xfId="0" applyNumberFormat="1" applyFont="1" applyFill="1" applyBorder="1"/>
    <xf numFmtId="171" fontId="23" fillId="0" borderId="0" xfId="0" applyNumberFormat="1" applyFont="1" applyBorder="1" applyAlignment="1"/>
    <xf numFmtId="175" fontId="23" fillId="0" borderId="0" xfId="0" applyNumberFormat="1" applyFont="1" applyBorder="1" applyAlignment="1"/>
    <xf numFmtId="175" fontId="3" fillId="2" borderId="10" xfId="0" applyNumberFormat="1" applyFont="1" applyFill="1" applyBorder="1" applyAlignment="1"/>
    <xf numFmtId="175" fontId="3" fillId="2" borderId="12" xfId="0" applyNumberFormat="1" applyFont="1" applyFill="1" applyBorder="1" applyAlignment="1"/>
    <xf numFmtId="179" fontId="8" fillId="0" borderId="0" xfId="0" applyNumberFormat="1" applyFont="1" applyBorder="1" applyAlignment="1"/>
    <xf numFmtId="166" fontId="3" fillId="0" borderId="16" xfId="0" applyNumberFormat="1" applyFont="1" applyFill="1" applyBorder="1" applyAlignment="1"/>
    <xf numFmtId="167" fontId="3" fillId="0" borderId="17" xfId="0" applyNumberFormat="1" applyFont="1" applyFill="1" applyBorder="1" applyAlignment="1"/>
    <xf numFmtId="167" fontId="3" fillId="0" borderId="17" xfId="0" applyNumberFormat="1" applyFont="1" applyFill="1" applyBorder="1"/>
    <xf numFmtId="166" fontId="15" fillId="0" borderId="18" xfId="0" applyNumberFormat="1" applyFont="1" applyFill="1" applyBorder="1" applyAlignment="1"/>
    <xf numFmtId="169" fontId="16" fillId="0" borderId="0" xfId="0" applyNumberFormat="1" applyFont="1" applyBorder="1" applyAlignment="1">
      <alignment horizontal="right"/>
    </xf>
    <xf numFmtId="0" fontId="9" fillId="0" borderId="0" xfId="0" applyNumberFormat="1" applyFont="1" applyBorder="1" applyAlignment="1">
      <alignment horizontal="centerContinuous"/>
    </xf>
    <xf numFmtId="164" fontId="9" fillId="0" borderId="2" xfId="0" applyNumberFormat="1" applyFont="1" applyFill="1" applyBorder="1" applyAlignment="1"/>
    <xf numFmtId="165" fontId="9" fillId="0" borderId="2" xfId="0" applyNumberFormat="1" applyFont="1" applyFill="1" applyBorder="1" applyAlignment="1"/>
    <xf numFmtId="166" fontId="9" fillId="2" borderId="4" xfId="0" applyNumberFormat="1" applyFont="1" applyFill="1" applyBorder="1" applyAlignment="1"/>
    <xf numFmtId="180" fontId="3" fillId="0" borderId="0" xfId="0" applyNumberFormat="1" applyFont="1" applyFill="1" applyBorder="1" applyAlignment="1"/>
    <xf numFmtId="180" fontId="3" fillId="0" borderId="0" xfId="0" applyNumberFormat="1" applyFont="1" applyBorder="1" applyAlignment="1"/>
    <xf numFmtId="181" fontId="3" fillId="0" borderId="0" xfId="2" applyNumberFormat="1" applyFont="1" applyBorder="1" applyAlignment="1"/>
    <xf numFmtId="181" fontId="9" fillId="0" borderId="0" xfId="2" applyNumberFormat="1" applyFont="1" applyBorder="1" applyAlignment="1">
      <alignment horizontal="centerContinuous"/>
    </xf>
    <xf numFmtId="171" fontId="9" fillId="0" borderId="3" xfId="0" applyNumberFormat="1" applyFont="1" applyBorder="1" applyAlignment="1"/>
    <xf numFmtId="171" fontId="9" fillId="0" borderId="13" xfId="0" applyNumberFormat="1" applyFont="1" applyBorder="1" applyAlignment="1">
      <alignment horizontal="right"/>
    </xf>
    <xf numFmtId="171" fontId="9" fillId="0" borderId="13" xfId="0" applyNumberFormat="1" applyFont="1" applyFill="1" applyBorder="1" applyAlignment="1">
      <alignment horizontal="right"/>
    </xf>
    <xf numFmtId="167" fontId="18" fillId="0" borderId="0" xfId="0" applyNumberFormat="1" applyFont="1" applyFill="1" applyBorder="1" applyAlignment="1">
      <alignment horizontal="right"/>
    </xf>
    <xf numFmtId="175" fontId="14" fillId="0" borderId="0" xfId="0" applyNumberFormat="1" applyFont="1" applyFill="1" applyBorder="1" applyAlignment="1"/>
    <xf numFmtId="175" fontId="18" fillId="0" borderId="0" xfId="0" applyNumberFormat="1" applyFont="1" applyFill="1" applyBorder="1" applyAlignment="1"/>
    <xf numFmtId="175" fontId="8" fillId="5" borderId="0" xfId="0" applyNumberFormat="1" applyFont="1" applyFill="1" applyBorder="1" applyAlignment="1"/>
    <xf numFmtId="0" fontId="9" fillId="0" borderId="19" xfId="0" applyFont="1" applyFill="1" applyBorder="1" applyAlignment="1">
      <alignment horizontal="left"/>
    </xf>
    <xf numFmtId="0" fontId="9" fillId="0" borderId="19" xfId="0" applyFont="1" applyFill="1" applyBorder="1"/>
    <xf numFmtId="168" fontId="3" fillId="0" borderId="0" xfId="0" applyNumberFormat="1" applyFont="1" applyFill="1" applyBorder="1"/>
    <xf numFmtId="0" fontId="9" fillId="0" borderId="19" xfId="0" applyNumberFormat="1" applyFont="1" applyBorder="1" applyAlignment="1"/>
    <xf numFmtId="167" fontId="24" fillId="0" borderId="0" xfId="0" applyNumberFormat="1" applyFont="1" applyFill="1"/>
    <xf numFmtId="167" fontId="24" fillId="0" borderId="0" xfId="0" applyNumberFormat="1" applyFont="1" applyFill="1" applyBorder="1"/>
    <xf numFmtId="0" fontId="24" fillId="0" borderId="0" xfId="0" applyFont="1" applyFill="1"/>
    <xf numFmtId="166" fontId="24" fillId="0" borderId="0" xfId="0" applyNumberFormat="1" applyFont="1" applyFill="1"/>
    <xf numFmtId="168" fontId="24" fillId="0" borderId="0" xfId="0" applyNumberFormat="1" applyFont="1" applyFill="1" applyBorder="1"/>
    <xf numFmtId="0" fontId="0" fillId="4" borderId="0" xfId="0" applyFill="1"/>
    <xf numFmtId="0" fontId="0" fillId="4" borderId="0" xfId="0" applyFill="1" applyBorder="1"/>
    <xf numFmtId="183" fontId="3" fillId="0" borderId="0" xfId="0" applyNumberFormat="1" applyFont="1" applyBorder="1" applyAlignment="1">
      <alignment horizontal="right"/>
    </xf>
    <xf numFmtId="177" fontId="8" fillId="5" borderId="0" xfId="0" applyNumberFormat="1" applyFont="1" applyFill="1" applyBorder="1" applyAlignment="1"/>
    <xf numFmtId="166" fontId="3" fillId="0" borderId="0" xfId="0" applyNumberFormat="1" applyFont="1" applyFill="1" applyBorder="1" applyAlignment="1"/>
    <xf numFmtId="166" fontId="3" fillId="0" borderId="4" xfId="0" applyNumberFormat="1" applyFont="1" applyFill="1" applyBorder="1" applyAlignment="1"/>
    <xf numFmtId="167" fontId="24" fillId="0" borderId="0" xfId="0" applyNumberFormat="1" applyFont="1" applyFill="1" applyBorder="1" applyAlignment="1"/>
    <xf numFmtId="182" fontId="25" fillId="0" borderId="19" xfId="0" applyNumberFormat="1" applyFont="1" applyFill="1" applyBorder="1" applyAlignment="1">
      <alignment horizontal="right"/>
    </xf>
    <xf numFmtId="166" fontId="9" fillId="6" borderId="19" xfId="0" applyNumberFormat="1" applyFont="1" applyFill="1" applyBorder="1" applyAlignment="1"/>
    <xf numFmtId="166" fontId="26" fillId="0" borderId="0" xfId="0" applyNumberFormat="1" applyFont="1" applyFill="1" applyBorder="1" applyAlignment="1"/>
    <xf numFmtId="175" fontId="24" fillId="0" borderId="0" xfId="0" applyNumberFormat="1" applyFont="1" applyBorder="1" applyAlignment="1"/>
    <xf numFmtId="182" fontId="24" fillId="0" borderId="0" xfId="0" applyNumberFormat="1" applyFont="1" applyFill="1" applyAlignment="1">
      <alignment horizontal="right"/>
    </xf>
    <xf numFmtId="169" fontId="9" fillId="0" borderId="3" xfId="0" applyNumberFormat="1" applyFont="1" applyFill="1" applyBorder="1" applyAlignment="1">
      <alignment horizontal="center"/>
    </xf>
    <xf numFmtId="175" fontId="5" fillId="0" borderId="0" xfId="0" applyNumberFormat="1" applyFont="1" applyFill="1" applyBorder="1" applyAlignment="1"/>
    <xf numFmtId="184" fontId="0" fillId="0" borderId="0" xfId="0" applyNumberFormat="1" applyAlignment="1">
      <alignment horizontal="right"/>
    </xf>
    <xf numFmtId="7" fontId="3" fillId="0" borderId="0" xfId="0" applyNumberFormat="1" applyFont="1" applyBorder="1" applyAlignment="1"/>
    <xf numFmtId="185" fontId="3" fillId="0" borderId="0" xfId="0" applyNumberFormat="1" applyFont="1" applyBorder="1" applyAlignment="1"/>
    <xf numFmtId="166" fontId="0" fillId="0" borderId="0" xfId="0" applyNumberFormat="1"/>
    <xf numFmtId="186" fontId="0" fillId="0" borderId="0" xfId="0" applyNumberFormat="1" applyAlignment="1">
      <alignment horizontal="right"/>
    </xf>
    <xf numFmtId="186" fontId="0" fillId="0" borderId="0" xfId="0" applyNumberFormat="1"/>
    <xf numFmtId="187" fontId="0" fillId="0" borderId="0" xfId="0" applyNumberFormat="1"/>
  </cellXfs>
  <cellStyles count="3">
    <cellStyle name="******************************************" xfId="1" xr:uid="{00000000-0005-0000-0000-000000000000}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12190</xdr:colOff>
      <xdr:row>1</xdr:row>
      <xdr:rowOff>50949</xdr:rowOff>
    </xdr:from>
    <xdr:to>
      <xdr:col>3</xdr:col>
      <xdr:colOff>304535</xdr:colOff>
      <xdr:row>2</xdr:row>
      <xdr:rowOff>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CD1821-FCA0-456B-B1B7-1ED235865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310" y="220494"/>
          <a:ext cx="1799200" cy="236856"/>
        </a:xfrm>
        <a:prstGeom prst="rect">
          <a:avLst/>
        </a:prstGeom>
      </xdr:spPr>
    </xdr:pic>
    <xdr:clientData/>
  </xdr:twoCellAnchor>
  <xdr:twoCellAnchor>
    <xdr:from>
      <xdr:col>1</xdr:col>
      <xdr:colOff>7795</xdr:colOff>
      <xdr:row>212</xdr:row>
      <xdr:rowOff>0</xdr:rowOff>
    </xdr:from>
    <xdr:to>
      <xdr:col>1</xdr:col>
      <xdr:colOff>228779</xdr:colOff>
      <xdr:row>217</xdr:row>
      <xdr:rowOff>22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8FCCC791-F177-4E00-8F31-050B5E1B103A}"/>
            </a:ext>
          </a:extLst>
        </xdr:cNvPr>
        <xdr:cNvGrpSpPr/>
      </xdr:nvGrpSpPr>
      <xdr:grpSpPr>
        <a:xfrm>
          <a:off x="205915" y="36530280"/>
          <a:ext cx="220984" cy="1028722"/>
          <a:chOff x="209880" y="41062275"/>
          <a:chExt cx="226699" cy="100014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792507D5-800E-4699-BA0E-F4D48FA9CFC5}"/>
              </a:ext>
            </a:extLst>
          </xdr:cNvPr>
          <xdr:cNvSpPr/>
        </xdr:nvSpPr>
        <xdr:spPr>
          <a:xfrm rot="16200000">
            <a:off x="-176844" y="41448999"/>
            <a:ext cx="1000147" cy="226699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Entry Leverage</a:t>
            </a:r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332E4C20-12D8-49C2-A16D-09BA6DC7E1DC}"/>
              </a:ext>
            </a:extLst>
          </xdr:cNvPr>
          <xdr:cNvCxnSpPr/>
        </xdr:nvCxnSpPr>
        <xdr:spPr>
          <a:xfrm>
            <a:off x="436579" y="41062275"/>
            <a:ext cx="0" cy="1000147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7795</xdr:colOff>
      <xdr:row>203</xdr:row>
      <xdr:rowOff>1587</xdr:rowOff>
    </xdr:from>
    <xdr:to>
      <xdr:col>1</xdr:col>
      <xdr:colOff>236395</xdr:colOff>
      <xdr:row>208</xdr:row>
      <xdr:rowOff>186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29A3A9E7-C749-47FC-84C6-027778D15107}"/>
            </a:ext>
          </a:extLst>
        </xdr:cNvPr>
        <xdr:cNvGrpSpPr/>
      </xdr:nvGrpSpPr>
      <xdr:grpSpPr>
        <a:xfrm>
          <a:off x="205915" y="34832607"/>
          <a:ext cx="228600" cy="1027299"/>
          <a:chOff x="209880" y="39406512"/>
          <a:chExt cx="228600" cy="998724"/>
        </a:xfrm>
      </xdr:grpSpPr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CAC07439-8F1F-4900-96E1-CE2C41B5327E}"/>
              </a:ext>
            </a:extLst>
          </xdr:cNvPr>
          <xdr:cNvSpPr/>
        </xdr:nvSpPr>
        <xdr:spPr>
          <a:xfrm rot="16200000">
            <a:off x="-175182" y="39791574"/>
            <a:ext cx="998723" cy="2286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Exit Multiple</a:t>
            </a:r>
          </a:p>
        </xdr:txBody>
      </xdr: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E10FA213-A523-4BC0-8BA9-57ED84C310E8}"/>
              </a:ext>
            </a:extLst>
          </xdr:cNvPr>
          <xdr:cNvCxnSpPr/>
        </xdr:nvCxnSpPr>
        <xdr:spPr>
          <a:xfrm>
            <a:off x="438480" y="39406512"/>
            <a:ext cx="0" cy="998724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150973</xdr:colOff>
      <xdr:row>24</xdr:row>
      <xdr:rowOff>0</xdr:rowOff>
    </xdr:from>
    <xdr:to>
      <xdr:col>1</xdr:col>
      <xdr:colOff>296799</xdr:colOff>
      <xdr:row>27</xdr:row>
      <xdr:rowOff>799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F651B7E1-E191-4238-B5FE-CBCB1BD8F70F}"/>
            </a:ext>
          </a:extLst>
        </xdr:cNvPr>
        <xdr:cNvGrpSpPr/>
      </xdr:nvGrpSpPr>
      <xdr:grpSpPr>
        <a:xfrm>
          <a:off x="150973" y="4305300"/>
          <a:ext cx="343946" cy="503719"/>
          <a:chOff x="252412" y="4195763"/>
          <a:chExt cx="335374" cy="504671"/>
        </a:xfrm>
      </xdr:grpSpPr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E7094E25-8E14-4DF7-B55D-CEE134A22BC0}"/>
              </a:ext>
            </a:extLst>
          </xdr:cNvPr>
          <xdr:cNvSpPr/>
        </xdr:nvSpPr>
        <xdr:spPr>
          <a:xfrm rot="16200000">
            <a:off x="167764" y="4280412"/>
            <a:ext cx="504670" cy="33537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Exit Mult.</a:t>
            </a:r>
          </a:p>
        </xdr:txBody>
      </xdr: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6E94955C-52AA-4B41-B717-405B23DDB63A}"/>
              </a:ext>
            </a:extLst>
          </xdr:cNvPr>
          <xdr:cNvCxnSpPr/>
        </xdr:nvCxnSpPr>
        <xdr:spPr>
          <a:xfrm>
            <a:off x="587786" y="4195763"/>
            <a:ext cx="0" cy="504671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8382</xdr:colOff>
      <xdr:row>212</xdr:row>
      <xdr:rowOff>0</xdr:rowOff>
    </xdr:from>
    <xdr:to>
      <xdr:col>9</xdr:col>
      <xdr:colOff>229366</xdr:colOff>
      <xdr:row>217</xdr:row>
      <xdr:rowOff>22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2DCBD2D2-2B12-49D8-BC3D-41A128B405CF}"/>
            </a:ext>
          </a:extLst>
        </xdr:cNvPr>
        <xdr:cNvGrpSpPr/>
      </xdr:nvGrpSpPr>
      <xdr:grpSpPr>
        <a:xfrm>
          <a:off x="5936742" y="36530280"/>
          <a:ext cx="220984" cy="1028722"/>
          <a:chOff x="209880" y="41062275"/>
          <a:chExt cx="226699" cy="1000147"/>
        </a:xfrm>
      </xdr:grpSpPr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3CB46BF-66BB-42E9-8392-D0F44ED09771}"/>
              </a:ext>
            </a:extLst>
          </xdr:cNvPr>
          <xdr:cNvSpPr/>
        </xdr:nvSpPr>
        <xdr:spPr>
          <a:xfrm rot="16200000">
            <a:off x="-176844" y="41448999"/>
            <a:ext cx="1000147" cy="226699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Entry Leverage</a:t>
            </a:r>
          </a:p>
        </xdr:txBody>
      </xdr: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AEC491EC-0913-4EEB-B7C7-2AD9CA280B34}"/>
              </a:ext>
            </a:extLst>
          </xdr:cNvPr>
          <xdr:cNvCxnSpPr/>
        </xdr:nvCxnSpPr>
        <xdr:spPr>
          <a:xfrm>
            <a:off x="436579" y="41062275"/>
            <a:ext cx="0" cy="1000147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8382</xdr:colOff>
      <xdr:row>203</xdr:row>
      <xdr:rowOff>1587</xdr:rowOff>
    </xdr:from>
    <xdr:to>
      <xdr:col>9</xdr:col>
      <xdr:colOff>236982</xdr:colOff>
      <xdr:row>208</xdr:row>
      <xdr:rowOff>186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25D1BDFA-DD2E-48AE-964F-9FEDF7FAEDEF}"/>
            </a:ext>
          </a:extLst>
        </xdr:cNvPr>
        <xdr:cNvGrpSpPr/>
      </xdr:nvGrpSpPr>
      <xdr:grpSpPr>
        <a:xfrm>
          <a:off x="5936742" y="34832607"/>
          <a:ext cx="228600" cy="1027299"/>
          <a:chOff x="209880" y="39406512"/>
          <a:chExt cx="228600" cy="998724"/>
        </a:xfrm>
      </xdr:grpSpPr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579E9A80-25BB-4CBF-8A8C-25BF517A0425}"/>
              </a:ext>
            </a:extLst>
          </xdr:cNvPr>
          <xdr:cNvSpPr/>
        </xdr:nvSpPr>
        <xdr:spPr>
          <a:xfrm rot="16200000">
            <a:off x="-175182" y="39791574"/>
            <a:ext cx="998723" cy="2286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Exit Multiple</a:t>
            </a:r>
          </a:p>
        </xdr:txBody>
      </xdr:sp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id="{3F0919B5-4BBC-4B30-BE89-6541CC210325}"/>
              </a:ext>
            </a:extLst>
          </xdr:cNvPr>
          <xdr:cNvCxnSpPr/>
        </xdr:nvCxnSpPr>
        <xdr:spPr>
          <a:xfrm>
            <a:off x="438480" y="39406512"/>
            <a:ext cx="0" cy="998724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4C7B"/>
      </a:accent1>
      <a:accent2>
        <a:srgbClr val="6490CB"/>
      </a:accent2>
      <a:accent3>
        <a:srgbClr val="5FA364"/>
      </a:accent3>
      <a:accent4>
        <a:srgbClr val="F0BB46"/>
      </a:accent4>
      <a:accent5>
        <a:srgbClr val="9579A1"/>
      </a:accent5>
      <a:accent6>
        <a:srgbClr val="D58B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48CBB-997B-4CCA-92CD-ACE202B7E341}">
  <dimension ref="A1:U218"/>
  <sheetViews>
    <sheetView showGridLines="0" tabSelected="1" zoomScaleNormal="100" zoomScaleSheetLayoutView="85" workbookViewId="0"/>
  </sheetViews>
  <sheetFormatPr defaultColWidth="9.109375" defaultRowHeight="13.2" outlineLevelRow="1" x14ac:dyDescent="0.25"/>
  <cols>
    <col min="1" max="1" width="2.88671875" style="9" customWidth="1"/>
    <col min="2" max="15" width="10.44140625" style="6" bestFit="1" customWidth="1"/>
    <col min="16" max="17" width="10.109375" style="6" bestFit="1" customWidth="1"/>
    <col min="18" max="18" width="9.109375" style="6"/>
    <col min="19" max="19" width="12.109375" style="6" bestFit="1" customWidth="1"/>
    <col min="20" max="16384" width="9.109375" style="6"/>
  </cols>
  <sheetData>
    <row r="1" spans="1:16" s="3" customFormat="1" ht="13.8" x14ac:dyDescent="0.25">
      <c r="A1" s="8"/>
    </row>
    <row r="2" spans="1:16" s="3" customFormat="1" ht="22.8" x14ac:dyDescent="0.4">
      <c r="A2" s="8"/>
      <c r="B2" s="2"/>
    </row>
    <row r="3" spans="1:16" s="3" customFormat="1" ht="18" thickBot="1" x14ac:dyDescent="0.35">
      <c r="A3" s="8"/>
      <c r="B3" s="1" t="s">
        <v>146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s="5" customFormat="1" x14ac:dyDescent="0.25">
      <c r="A4" s="8"/>
      <c r="B4" s="67" t="s">
        <v>59</v>
      </c>
    </row>
    <row r="6" spans="1:16" ht="15.6" x14ac:dyDescent="0.3">
      <c r="B6" s="32" t="s">
        <v>29</v>
      </c>
      <c r="C6" s="33"/>
      <c r="D6" s="33"/>
      <c r="E6" s="33"/>
      <c r="G6" s="137" t="s">
        <v>133</v>
      </c>
      <c r="H6" s="136"/>
      <c r="I6" s="136"/>
      <c r="J6" s="136"/>
      <c r="K6" s="136"/>
      <c r="L6" s="136"/>
      <c r="M6" s="136"/>
      <c r="N6" s="136"/>
      <c r="O6" s="136"/>
      <c r="P6" s="37"/>
    </row>
    <row r="7" spans="1:16" x14ac:dyDescent="0.25">
      <c r="B7" s="6" t="str">
        <f>B68</f>
        <v>Revolver</v>
      </c>
      <c r="E7" s="160">
        <f>E68</f>
        <v>0</v>
      </c>
      <c r="G7" s="139"/>
      <c r="H7" s="138"/>
      <c r="I7" s="138"/>
      <c r="J7" s="140"/>
      <c r="K7" s="141"/>
      <c r="L7" s="141"/>
      <c r="M7" s="141"/>
      <c r="N7" s="141"/>
      <c r="O7" s="141"/>
      <c r="P7" s="165"/>
    </row>
    <row r="8" spans="1:16" x14ac:dyDescent="0.25">
      <c r="B8" s="6" t="str">
        <f>B69</f>
        <v>Unitranche Term Loan</v>
      </c>
      <c r="E8" s="51">
        <f>E69</f>
        <v>270</v>
      </c>
      <c r="G8" s="46" t="str">
        <f>B76</f>
        <v>Year</v>
      </c>
      <c r="H8" s="7"/>
      <c r="I8" s="7"/>
      <c r="J8" s="155">
        <f t="shared" ref="J8:O9" si="0">J76</f>
        <v>2019</v>
      </c>
      <c r="K8" s="156">
        <f t="shared" si="0"/>
        <v>2020</v>
      </c>
      <c r="L8" s="156">
        <f t="shared" si="0"/>
        <v>2021</v>
      </c>
      <c r="M8" s="156">
        <f t="shared" si="0"/>
        <v>2022</v>
      </c>
      <c r="N8" s="156">
        <f t="shared" si="0"/>
        <v>2023</v>
      </c>
      <c r="O8" s="156">
        <f t="shared" si="0"/>
        <v>2024</v>
      </c>
      <c r="P8" s="165"/>
    </row>
    <row r="9" spans="1:16" x14ac:dyDescent="0.25">
      <c r="B9" s="6" t="str">
        <f>B70</f>
        <v>Roll-over Equity</v>
      </c>
      <c r="E9" s="51">
        <f>E70</f>
        <v>0</v>
      </c>
      <c r="G9" s="6" t="s">
        <v>77</v>
      </c>
      <c r="J9" s="50">
        <f t="shared" si="0"/>
        <v>454.72</v>
      </c>
      <c r="K9" s="50">
        <f t="shared" si="0"/>
        <v>493.48450000000003</v>
      </c>
      <c r="L9" s="50">
        <f t="shared" si="0"/>
        <v>533.15323133999993</v>
      </c>
      <c r="M9" s="50">
        <f t="shared" si="0"/>
        <v>574.05362297540398</v>
      </c>
      <c r="N9" s="50">
        <f t="shared" si="0"/>
        <v>615.19305082446851</v>
      </c>
      <c r="O9" s="50">
        <f t="shared" si="0"/>
        <v>655.89402799919424</v>
      </c>
      <c r="P9" s="166"/>
    </row>
    <row r="10" spans="1:16" x14ac:dyDescent="0.25">
      <c r="B10" s="6" t="str">
        <f>B71</f>
        <v>WSPCP Equity</v>
      </c>
      <c r="E10" s="51">
        <f>E71</f>
        <v>277.07112000000029</v>
      </c>
      <c r="G10" s="125" t="s">
        <v>126</v>
      </c>
      <c r="K10" s="126">
        <f>K9/J9-1</f>
        <v>8.5249164320900794E-2</v>
      </c>
      <c r="L10" s="126">
        <f>L9/K9-1</f>
        <v>8.038495908179466E-2</v>
      </c>
      <c r="M10" s="126">
        <f>M9/L9-1</f>
        <v>7.6714140009256138E-2</v>
      </c>
      <c r="N10" s="126">
        <f>N9/M9-1</f>
        <v>7.1664782178070485E-2</v>
      </c>
      <c r="O10" s="126">
        <f>O9/N9-1</f>
        <v>6.6159682916084872E-2</v>
      </c>
      <c r="P10" s="37"/>
    </row>
    <row r="11" spans="1:16" x14ac:dyDescent="0.25">
      <c r="B11" s="21" t="str">
        <f>B72</f>
        <v>Total Sources</v>
      </c>
      <c r="C11" s="21"/>
      <c r="D11" s="73"/>
      <c r="E11" s="43">
        <f>SUM(E7:E10)</f>
        <v>547.07112000000029</v>
      </c>
      <c r="P11" s="37"/>
    </row>
    <row r="12" spans="1:16" x14ac:dyDescent="0.25">
      <c r="G12" s="6" t="s">
        <v>4</v>
      </c>
      <c r="J12" s="50">
        <f t="shared" ref="J12:O12" si="1">J79</f>
        <v>174.48030000000006</v>
      </c>
      <c r="K12" s="50">
        <f t="shared" si="1"/>
        <v>194.50176500000003</v>
      </c>
      <c r="L12" s="50">
        <f t="shared" si="1"/>
        <v>215.62977588999996</v>
      </c>
      <c r="M12" s="50">
        <f t="shared" si="1"/>
        <v>237.76563100590403</v>
      </c>
      <c r="N12" s="50">
        <f t="shared" si="1"/>
        <v>260.60556320964349</v>
      </c>
      <c r="O12" s="50">
        <f t="shared" si="1"/>
        <v>283.95486809350848</v>
      </c>
      <c r="P12" s="166"/>
    </row>
    <row r="13" spans="1:16" x14ac:dyDescent="0.25">
      <c r="G13" s="125" t="s">
        <v>127</v>
      </c>
      <c r="J13" s="126">
        <f t="shared" ref="J13:O13" si="2">J12/J$9</f>
        <v>0.38370931562280097</v>
      </c>
      <c r="K13" s="126">
        <f t="shared" si="2"/>
        <v>0.39413956264077193</v>
      </c>
      <c r="L13" s="126">
        <f t="shared" si="2"/>
        <v>0.40444240645048174</v>
      </c>
      <c r="M13" s="126">
        <f t="shared" si="2"/>
        <v>0.41418714470179624</v>
      </c>
      <c r="N13" s="126">
        <f t="shared" si="2"/>
        <v>0.42361590863288445</v>
      </c>
      <c r="O13" s="126">
        <f t="shared" si="2"/>
        <v>0.43292796697617947</v>
      </c>
      <c r="P13" s="37"/>
    </row>
    <row r="14" spans="1:16" ht="15.6" x14ac:dyDescent="0.3">
      <c r="B14" s="32" t="s">
        <v>30</v>
      </c>
      <c r="C14" s="33"/>
      <c r="D14" s="33"/>
      <c r="E14" s="33"/>
      <c r="P14" s="37"/>
    </row>
    <row r="15" spans="1:16" x14ac:dyDescent="0.25">
      <c r="B15" s="6" t="str">
        <f>G68</f>
        <v>Purchase Price</v>
      </c>
      <c r="E15" s="160">
        <f>J68</f>
        <v>538.67112000000031</v>
      </c>
      <c r="G15" s="127" t="s">
        <v>5</v>
      </c>
      <c r="H15" s="127"/>
      <c r="I15" s="127"/>
      <c r="J15" s="157">
        <f t="shared" ref="J15:O15" si="3">J81</f>
        <v>53.867112000000034</v>
      </c>
      <c r="K15" s="157">
        <f t="shared" si="3"/>
        <v>60.83748030000001</v>
      </c>
      <c r="L15" s="157">
        <f t="shared" si="3"/>
        <v>70.179980454499969</v>
      </c>
      <c r="M15" s="157">
        <f t="shared" si="3"/>
        <v>80.113236946291948</v>
      </c>
      <c r="N15" s="157">
        <f t="shared" si="3"/>
        <v>90.553527466112257</v>
      </c>
      <c r="O15" s="157">
        <f t="shared" si="3"/>
        <v>101.40087534518918</v>
      </c>
      <c r="P15" s="167"/>
    </row>
    <row r="16" spans="1:16" x14ac:dyDescent="0.25">
      <c r="B16" s="6" t="str">
        <f>G69</f>
        <v>Cash to Balance Sheet</v>
      </c>
      <c r="E16" s="51">
        <f>J69</f>
        <v>0</v>
      </c>
      <c r="G16" s="128" t="s">
        <v>127</v>
      </c>
      <c r="H16" s="129"/>
      <c r="I16" s="129"/>
      <c r="J16" s="130">
        <f t="shared" ref="J16:O16" si="4">J15/J$9</f>
        <v>0.11846215693173828</v>
      </c>
      <c r="K16" s="130">
        <f t="shared" si="4"/>
        <v>0.12328144105843244</v>
      </c>
      <c r="L16" s="130">
        <f t="shared" si="4"/>
        <v>0.13163191429622065</v>
      </c>
      <c r="M16" s="130">
        <f t="shared" si="4"/>
        <v>0.13955706181428368</v>
      </c>
      <c r="N16" s="130">
        <f t="shared" si="4"/>
        <v>0.14719530291305202</v>
      </c>
      <c r="O16" s="130">
        <f t="shared" si="4"/>
        <v>0.15459947951426348</v>
      </c>
      <c r="P16" s="134"/>
    </row>
    <row r="17" spans="2:16" x14ac:dyDescent="0.25">
      <c r="B17" s="6" t="str">
        <f>G70</f>
        <v>Transaction Fees</v>
      </c>
      <c r="E17" s="51">
        <f>J70</f>
        <v>2</v>
      </c>
      <c r="G17" s="131" t="s">
        <v>126</v>
      </c>
      <c r="H17" s="132"/>
      <c r="I17" s="132"/>
      <c r="J17" s="132"/>
      <c r="K17" s="133">
        <f>K15/J15-1</f>
        <v>0.12939933182235519</v>
      </c>
      <c r="L17" s="133">
        <f>L15/K15-1</f>
        <v>0.15356487659302287</v>
      </c>
      <c r="M17" s="133">
        <f>M15/L15-1</f>
        <v>0.14153974434678052</v>
      </c>
      <c r="N17" s="133">
        <f>N15/M15-1</f>
        <v>0.13031916968751989</v>
      </c>
      <c r="O17" s="133">
        <f>O15/N15-1</f>
        <v>0.1197893465070845</v>
      </c>
      <c r="P17" s="134"/>
    </row>
    <row r="18" spans="2:16" x14ac:dyDescent="0.25">
      <c r="B18" s="6" t="str">
        <f>G71</f>
        <v>Financing Fees</v>
      </c>
      <c r="E18" s="51">
        <f>J71</f>
        <v>6.4</v>
      </c>
      <c r="P18" s="37"/>
    </row>
    <row r="19" spans="2:16" x14ac:dyDescent="0.25">
      <c r="B19" s="21" t="str">
        <f>G72</f>
        <v>Total Uses</v>
      </c>
      <c r="C19" s="21"/>
      <c r="D19" s="73"/>
      <c r="E19" s="43">
        <f>SUM(E15:E18)</f>
        <v>547.07112000000029</v>
      </c>
      <c r="G19" s="6" t="s">
        <v>12</v>
      </c>
      <c r="J19" s="50">
        <f t="shared" ref="J19:O19" si="5">J89</f>
        <v>19.881662880000025</v>
      </c>
      <c r="K19" s="50">
        <f t="shared" ca="1" si="5"/>
        <v>7.0374790617001981</v>
      </c>
      <c r="L19" s="50">
        <f t="shared" ca="1" si="5"/>
        <v>12.713950809257772</v>
      </c>
      <c r="M19" s="50">
        <f t="shared" ca="1" si="5"/>
        <v>18.845611279324366</v>
      </c>
      <c r="N19" s="50">
        <f t="shared" ca="1" si="5"/>
        <v>25.41984966627637</v>
      </c>
      <c r="O19" s="50">
        <f t="shared" ca="1" si="5"/>
        <v>32.389821602581641</v>
      </c>
      <c r="P19" s="166"/>
    </row>
    <row r="20" spans="2:16" x14ac:dyDescent="0.25">
      <c r="G20" s="125" t="s">
        <v>127</v>
      </c>
      <c r="J20" s="134">
        <f t="shared" ref="J20:O20" si="6">J19/J$9</f>
        <v>4.3722868754398361E-2</v>
      </c>
      <c r="K20" s="134">
        <f t="shared" ca="1" si="6"/>
        <v>1.4260790484200005E-2</v>
      </c>
      <c r="L20" s="134">
        <f t="shared" ca="1" si="6"/>
        <v>2.3846710592568637E-2</v>
      </c>
      <c r="M20" s="134">
        <f t="shared" ca="1" si="6"/>
        <v>3.2829008519526109E-2</v>
      </c>
      <c r="N20" s="134">
        <f t="shared" ca="1" si="6"/>
        <v>4.1320118346930668E-2</v>
      </c>
      <c r="O20" s="134">
        <f t="shared" ca="1" si="6"/>
        <v>4.9382705467507983E-2</v>
      </c>
      <c r="P20" s="37"/>
    </row>
    <row r="21" spans="2:16" x14ac:dyDescent="0.25">
      <c r="G21" s="125" t="s">
        <v>126</v>
      </c>
      <c r="J21" s="37"/>
      <c r="K21" s="134">
        <f ca="1">K19/J19-1</f>
        <v>-0.64603166726161743</v>
      </c>
      <c r="L21" s="134">
        <f ca="1">L19/K19-1</f>
        <v>0.80660584533038526</v>
      </c>
      <c r="M21" s="134">
        <f ca="1">M19/L19-1</f>
        <v>0.48227813384347629</v>
      </c>
      <c r="N21" s="134">
        <f ca="1">N19/M19-1</f>
        <v>0.34884718195183417</v>
      </c>
      <c r="O21" s="134">
        <f ca="1">O19/N19-1</f>
        <v>0.27419406596853668</v>
      </c>
      <c r="P21" s="37"/>
    </row>
    <row r="22" spans="2:16" ht="15.6" x14ac:dyDescent="0.3">
      <c r="B22" s="32" t="s">
        <v>134</v>
      </c>
      <c r="C22" s="33"/>
      <c r="D22" s="33"/>
      <c r="E22" s="33"/>
      <c r="P22" s="37"/>
    </row>
    <row r="23" spans="2:16" x14ac:dyDescent="0.25">
      <c r="C23" s="154" t="str">
        <f>C202</f>
        <v>Entry Multiple</v>
      </c>
      <c r="D23" s="154"/>
      <c r="E23" s="161"/>
      <c r="G23" s="62" t="s">
        <v>13</v>
      </c>
      <c r="J23" s="153">
        <f>J8</f>
        <v>2019</v>
      </c>
      <c r="P23" s="37"/>
    </row>
    <row r="24" spans="2:16" x14ac:dyDescent="0.25">
      <c r="C24" s="162">
        <f>D203</f>
        <v>9.5</v>
      </c>
      <c r="D24" s="162">
        <f>E203</f>
        <v>10</v>
      </c>
      <c r="E24" s="162">
        <f>F203</f>
        <v>10.5</v>
      </c>
      <c r="G24" s="6" t="s">
        <v>14</v>
      </c>
      <c r="J24" s="182">
        <f>+K134</f>
        <v>0</v>
      </c>
      <c r="K24" s="182">
        <f ca="1">+K136</f>
        <v>0</v>
      </c>
      <c r="L24" s="182">
        <f t="shared" ref="L24:O24" ca="1" si="7">+L136</f>
        <v>0</v>
      </c>
      <c r="M24" s="182">
        <f t="shared" ca="1" si="7"/>
        <v>0</v>
      </c>
      <c r="N24" s="182">
        <f t="shared" ca="1" si="7"/>
        <v>0</v>
      </c>
      <c r="O24" s="182">
        <f t="shared" ca="1" si="7"/>
        <v>2.7279322080464521</v>
      </c>
      <c r="P24" s="37"/>
    </row>
    <row r="25" spans="2:16" x14ac:dyDescent="0.25">
      <c r="B25" s="163">
        <f>B205</f>
        <v>9.5</v>
      </c>
      <c r="C25" s="180">
        <f>+L205</f>
        <v>0.22827487459538154</v>
      </c>
      <c r="D25" s="180">
        <f t="shared" ref="D25:E25" si="8">+M205</f>
        <v>0.19868455231480397</v>
      </c>
      <c r="E25" s="180">
        <f t="shared" si="8"/>
        <v>0.17258052552886149</v>
      </c>
      <c r="G25" s="6" t="s">
        <v>20</v>
      </c>
      <c r="J25" s="124">
        <f>+J160</f>
        <v>270</v>
      </c>
      <c r="K25" s="124">
        <f ca="1">+K160</f>
        <v>272.89364338901584</v>
      </c>
      <c r="L25" s="124">
        <f t="shared" ref="L25:O25" ca="1" si="9">+L160</f>
        <v>271.8425397869679</v>
      </c>
      <c r="M25" s="124">
        <f t="shared" ca="1" si="9"/>
        <v>266.25073478301755</v>
      </c>
      <c r="N25" s="124">
        <f t="shared" ca="1" si="9"/>
        <v>255.46688042658371</v>
      </c>
      <c r="O25" s="124">
        <f t="shared" ca="1" si="9"/>
        <v>241.5662033758606</v>
      </c>
      <c r="P25" s="37"/>
    </row>
    <row r="26" spans="2:16" x14ac:dyDescent="0.25">
      <c r="B26" s="163">
        <f>B206</f>
        <v>10</v>
      </c>
      <c r="C26" s="180">
        <f t="shared" ref="C26:E26" si="10">+L206</f>
        <v>0.24968665889358821</v>
      </c>
      <c r="D26" s="180">
        <f t="shared" si="10"/>
        <v>0.21948460607605269</v>
      </c>
      <c r="E26" s="180">
        <f t="shared" si="10"/>
        <v>0.19283465759525797</v>
      </c>
      <c r="G26" s="135" t="s">
        <v>128</v>
      </c>
      <c r="H26" s="135"/>
      <c r="I26" s="135"/>
      <c r="J26" s="183">
        <f t="shared" ref="J26:O26" si="11">J25-J24</f>
        <v>270</v>
      </c>
      <c r="K26" s="183">
        <f t="shared" ca="1" si="11"/>
        <v>272.89364338901584</v>
      </c>
      <c r="L26" s="183">
        <f t="shared" ca="1" si="11"/>
        <v>271.8425397869679</v>
      </c>
      <c r="M26" s="183">
        <f t="shared" ca="1" si="11"/>
        <v>266.25073478301755</v>
      </c>
      <c r="N26" s="183">
        <f t="shared" ca="1" si="11"/>
        <v>255.46688042658371</v>
      </c>
      <c r="O26" s="183">
        <f t="shared" ca="1" si="11"/>
        <v>238.83827116781416</v>
      </c>
      <c r="P26" s="37"/>
    </row>
    <row r="27" spans="2:16" x14ac:dyDescent="0.25">
      <c r="B27" s="164">
        <f>B207</f>
        <v>10.5</v>
      </c>
      <c r="C27" s="180">
        <f t="shared" ref="C27:E27" si="12">+L207</f>
        <v>0.27005119484433227</v>
      </c>
      <c r="D27" s="180">
        <f t="shared" si="12"/>
        <v>0.23927170091572036</v>
      </c>
      <c r="E27" s="180">
        <f t="shared" si="12"/>
        <v>0.21210663565356414</v>
      </c>
      <c r="J27" s="37"/>
      <c r="K27" s="37"/>
      <c r="L27" s="37"/>
      <c r="M27" s="37"/>
      <c r="N27" s="37"/>
      <c r="O27" s="37"/>
      <c r="P27" s="37"/>
    </row>
    <row r="28" spans="2:16" x14ac:dyDescent="0.25">
      <c r="G28" s="62" t="s">
        <v>129</v>
      </c>
      <c r="J28" s="37"/>
      <c r="K28" s="37"/>
      <c r="L28" s="37"/>
      <c r="M28" s="37"/>
      <c r="N28" s="37"/>
      <c r="O28" s="37"/>
    </row>
    <row r="29" spans="2:16" x14ac:dyDescent="0.25">
      <c r="G29" s="6" t="s">
        <v>143</v>
      </c>
      <c r="J29" s="37"/>
      <c r="K29" s="182">
        <f>+J103-K103+K108-J108</f>
        <v>0.16436928261727246</v>
      </c>
      <c r="L29" s="182">
        <f>+K103-L103+L108-K108</f>
        <v>0.16820340550484048</v>
      </c>
      <c r="M29" s="182">
        <f>+L103-M103+M108-L108</f>
        <v>0.17342589306907996</v>
      </c>
      <c r="N29" s="182">
        <f>+M103-N103+N108-M108</f>
        <v>0.17443945472884081</v>
      </c>
      <c r="O29" s="182">
        <f>+N103-O103+O108-N108</f>
        <v>0.17258033561715536</v>
      </c>
    </row>
    <row r="30" spans="2:16" x14ac:dyDescent="0.25">
      <c r="G30" s="6" t="s">
        <v>65</v>
      </c>
      <c r="J30" s="37"/>
      <c r="K30" s="124">
        <f>K126*(-1)</f>
        <v>34.543915000000005</v>
      </c>
      <c r="L30" s="124">
        <f>L126*(-1)</f>
        <v>37.320726193799999</v>
      </c>
      <c r="M30" s="124">
        <f>M126*(-1)</f>
        <v>40.18375360827828</v>
      </c>
      <c r="N30" s="124">
        <f>N126*(-1)</f>
        <v>43.063513557712803</v>
      </c>
      <c r="O30" s="124">
        <f>O126*(-1)</f>
        <v>45.912581959943601</v>
      </c>
    </row>
    <row r="32" spans="2:16" x14ac:dyDescent="0.25">
      <c r="G32" s="62" t="s">
        <v>130</v>
      </c>
    </row>
    <row r="33" spans="1:21" x14ac:dyDescent="0.25">
      <c r="G33" s="6" t="s">
        <v>131</v>
      </c>
      <c r="J33" s="72">
        <f t="shared" ref="J33:O33" si="13">IFERROR(J25/J15,0)</f>
        <v>5.0123347990142824</v>
      </c>
      <c r="K33" s="72">
        <f t="shared" ca="1" si="13"/>
        <v>4.485617123577943</v>
      </c>
      <c r="L33" s="72">
        <f t="shared" ca="1" si="13"/>
        <v>3.8735054929690742</v>
      </c>
      <c r="M33" s="72">
        <f t="shared" ca="1" si="13"/>
        <v>3.3234299964875031</v>
      </c>
      <c r="N33" s="72">
        <f t="shared" ca="1" si="13"/>
        <v>2.8211698381621497</v>
      </c>
      <c r="O33" s="72">
        <f t="shared" ca="1" si="13"/>
        <v>2.3822891326482161</v>
      </c>
    </row>
    <row r="34" spans="1:21" x14ac:dyDescent="0.25">
      <c r="G34" s="6" t="s">
        <v>132</v>
      </c>
      <c r="J34" s="158">
        <f t="shared" ref="J34:O34" si="14">IFERROR(J15/J179,0)</f>
        <v>2.4653140503432507</v>
      </c>
      <c r="K34" s="159">
        <f t="shared" ca="1" si="14"/>
        <v>2.7806398279070126</v>
      </c>
      <c r="L34" s="159">
        <f t="shared" ca="1" si="14"/>
        <v>3.1178228910904795</v>
      </c>
      <c r="M34" s="159">
        <f t="shared" ca="1" si="14"/>
        <v>3.4999729404806215</v>
      </c>
      <c r="N34" s="159">
        <f t="shared" ca="1" si="14"/>
        <v>3.9458077410060302</v>
      </c>
      <c r="O34" s="159">
        <f t="shared" ca="1" si="14"/>
        <v>4.4876276156432233</v>
      </c>
    </row>
    <row r="37" spans="1:21" ht="15.6" x14ac:dyDescent="0.3">
      <c r="A37" s="9" t="s">
        <v>1</v>
      </c>
      <c r="B37" s="32" t="s">
        <v>26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</row>
    <row r="38" spans="1:21" s="37" customFormat="1" ht="15" customHeight="1" x14ac:dyDescent="0.25">
      <c r="A38" s="34"/>
      <c r="B38" s="46" t="s">
        <v>45</v>
      </c>
      <c r="C38" s="7"/>
      <c r="D38" s="7"/>
      <c r="E38" s="36"/>
      <c r="G38" s="46" t="s">
        <v>91</v>
      </c>
      <c r="H38" s="7"/>
      <c r="I38" s="7"/>
      <c r="J38" s="36"/>
      <c r="K38" s="39"/>
      <c r="L38" s="17" t="s">
        <v>72</v>
      </c>
      <c r="M38" s="18"/>
      <c r="N38" s="18"/>
      <c r="O38" s="18"/>
    </row>
    <row r="39" spans="1:21" ht="15" customHeight="1" x14ac:dyDescent="0.25">
      <c r="B39" s="6" t="s">
        <v>46</v>
      </c>
      <c r="E39" s="50">
        <f>J81</f>
        <v>53.867112000000034</v>
      </c>
      <c r="G39" s="6" t="s">
        <v>125</v>
      </c>
      <c r="J39" s="49">
        <v>10</v>
      </c>
      <c r="L39" s="6" t="s">
        <v>47</v>
      </c>
      <c r="O39" s="58">
        <f>E41</f>
        <v>538.67112000000031</v>
      </c>
      <c r="Q39" s="193"/>
    </row>
    <row r="40" spans="1:21" x14ac:dyDescent="0.25">
      <c r="B40" s="6" t="s">
        <v>120</v>
      </c>
      <c r="E40" s="49">
        <v>10</v>
      </c>
      <c r="G40" s="6" t="s">
        <v>92</v>
      </c>
      <c r="J40" s="93">
        <v>2023</v>
      </c>
      <c r="L40" s="6" t="s">
        <v>50</v>
      </c>
      <c r="O40" s="184">
        <v>-75</v>
      </c>
    </row>
    <row r="41" spans="1:21" x14ac:dyDescent="0.25">
      <c r="B41" s="56" t="s">
        <v>47</v>
      </c>
      <c r="C41" s="56"/>
      <c r="D41" s="56"/>
      <c r="E41" s="57">
        <f>E39*E40</f>
        <v>538.67112000000031</v>
      </c>
      <c r="G41" s="6" t="s">
        <v>135</v>
      </c>
      <c r="J41" s="65">
        <v>0.1</v>
      </c>
      <c r="L41" s="6" t="s">
        <v>51</v>
      </c>
      <c r="O41" s="184">
        <v>47</v>
      </c>
    </row>
    <row r="42" spans="1:21" x14ac:dyDescent="0.25">
      <c r="L42" s="59" t="s">
        <v>52</v>
      </c>
      <c r="M42" s="59"/>
      <c r="N42" s="59"/>
      <c r="O42" s="60">
        <f>SUM(O39:O41)</f>
        <v>510.67112000000031</v>
      </c>
      <c r="P42" s="194"/>
      <c r="Q42" s="194"/>
    </row>
    <row r="43" spans="1:21" ht="14.4" x14ac:dyDescent="0.3">
      <c r="Q43"/>
      <c r="R43"/>
      <c r="S43"/>
      <c r="T43"/>
      <c r="U43"/>
    </row>
    <row r="44" spans="1:21" ht="14.4" x14ac:dyDescent="0.3">
      <c r="B44"/>
      <c r="C44"/>
      <c r="D44"/>
      <c r="E44" s="192"/>
      <c r="G44" s="46" t="s">
        <v>53</v>
      </c>
      <c r="H44" s="46"/>
      <c r="I44" s="46"/>
      <c r="J44" s="46"/>
      <c r="L44" s="62" t="s">
        <v>54</v>
      </c>
      <c r="N44" s="63" t="s">
        <v>121</v>
      </c>
      <c r="O44" s="63" t="s">
        <v>122</v>
      </c>
      <c r="Q44"/>
      <c r="R44"/>
      <c r="S44"/>
      <c r="T44"/>
      <c r="U44"/>
    </row>
    <row r="45" spans="1:21" ht="14.4" x14ac:dyDescent="0.3">
      <c r="B45"/>
      <c r="C45"/>
      <c r="D45"/>
      <c r="E45" s="192"/>
      <c r="G45" s="6" t="s">
        <v>63</v>
      </c>
      <c r="J45" s="66">
        <v>5</v>
      </c>
      <c r="L45" s="44" t="s">
        <v>148</v>
      </c>
      <c r="N45" s="54">
        <v>0.6</v>
      </c>
      <c r="O45" s="65">
        <v>0</v>
      </c>
      <c r="P45" s="193"/>
      <c r="Q45" s="195"/>
      <c r="R45" s="196"/>
      <c r="S45" s="198"/>
      <c r="T45"/>
      <c r="U45"/>
    </row>
    <row r="46" spans="1:21" ht="14.4" x14ac:dyDescent="0.3">
      <c r="B46"/>
      <c r="C46"/>
      <c r="D46"/>
      <c r="E46"/>
      <c r="G46" s="6" t="s">
        <v>64</v>
      </c>
      <c r="J46" s="65">
        <v>0.05</v>
      </c>
      <c r="L46" s="44" t="s">
        <v>149</v>
      </c>
      <c r="N46" s="53">
        <f>1-N45</f>
        <v>0.4</v>
      </c>
      <c r="O46" s="65">
        <v>0</v>
      </c>
      <c r="P46" s="193"/>
      <c r="Q46" s="195"/>
      <c r="R46" s="196"/>
      <c r="S46" s="198"/>
      <c r="T46"/>
      <c r="U46"/>
    </row>
    <row r="47" spans="1:21" ht="15" customHeight="1" x14ac:dyDescent="0.3">
      <c r="B47"/>
      <c r="C47"/>
      <c r="D47"/>
      <c r="E47" s="192"/>
      <c r="L47" s="59" t="s">
        <v>39</v>
      </c>
      <c r="M47" s="59"/>
      <c r="N47" s="64">
        <f>SUM(N45:N46)</f>
        <v>1</v>
      </c>
      <c r="O47" s="64">
        <f>SUM(O45:O46)</f>
        <v>0</v>
      </c>
      <c r="Q47"/>
      <c r="R47" s="197"/>
      <c r="S47"/>
      <c r="T47"/>
      <c r="U47"/>
    </row>
    <row r="48" spans="1:21" ht="14.4" x14ac:dyDescent="0.3">
      <c r="B48"/>
      <c r="C48"/>
      <c r="D48"/>
      <c r="E48"/>
      <c r="Q48"/>
      <c r="R48"/>
      <c r="S48"/>
      <c r="T48"/>
      <c r="U48"/>
    </row>
    <row r="49" spans="2:21" ht="14.4" x14ac:dyDescent="0.3">
      <c r="B49"/>
      <c r="C49"/>
      <c r="D49"/>
      <c r="E49"/>
      <c r="L49" s="62" t="s">
        <v>55</v>
      </c>
      <c r="M49" s="63" t="s">
        <v>14</v>
      </c>
      <c r="N49" s="63" t="s">
        <v>123</v>
      </c>
      <c r="O49" s="63" t="s">
        <v>39</v>
      </c>
      <c r="Q49"/>
      <c r="R49"/>
      <c r="S49"/>
      <c r="T49"/>
      <c r="U49"/>
    </row>
    <row r="50" spans="2:21" ht="14.4" x14ac:dyDescent="0.3">
      <c r="B50"/>
      <c r="C50"/>
      <c r="D50"/>
      <c r="E50"/>
      <c r="L50" s="6" t="str">
        <f>L45</f>
        <v>Zachary</v>
      </c>
      <c r="M50" s="123">
        <f>O50-N50</f>
        <v>306.40267200000017</v>
      </c>
      <c r="N50" s="123">
        <f>MIN(($J$72-SUM($E$68:$E$69))*O45,O50)</f>
        <v>0</v>
      </c>
      <c r="O50" s="123">
        <f>N45*O$42</f>
        <v>306.40267200000017</v>
      </c>
      <c r="Q50"/>
      <c r="R50"/>
      <c r="S50"/>
      <c r="T50"/>
      <c r="U50"/>
    </row>
    <row r="51" spans="2:21" ht="14.4" x14ac:dyDescent="0.3">
      <c r="B51"/>
      <c r="C51"/>
      <c r="D51"/>
      <c r="E51"/>
      <c r="L51" s="6" t="str">
        <f>L46</f>
        <v>Other Mgmt</v>
      </c>
      <c r="M51" s="122">
        <f>O51-N51</f>
        <v>204.26844800000015</v>
      </c>
      <c r="N51" s="122">
        <f>MIN(($J$72-SUM($E$68:$E$69))*O46,O51)</f>
        <v>0</v>
      </c>
      <c r="O51" s="122">
        <f>N46*O$42</f>
        <v>204.26844800000015</v>
      </c>
    </row>
    <row r="52" spans="2:21" ht="14.4" x14ac:dyDescent="0.3">
      <c r="B52"/>
      <c r="C52"/>
      <c r="D52"/>
      <c r="E52"/>
      <c r="L52" s="59" t="s">
        <v>39</v>
      </c>
      <c r="M52" s="60">
        <f>SUM(M50:M51)</f>
        <v>510.67112000000031</v>
      </c>
      <c r="N52" s="60">
        <f>SUM(N50:N51)</f>
        <v>0</v>
      </c>
      <c r="O52" s="60">
        <f>SUM(O50:O51)</f>
        <v>510.67112000000031</v>
      </c>
    </row>
    <row r="53" spans="2:21" ht="14.4" x14ac:dyDescent="0.3">
      <c r="B53"/>
      <c r="C53"/>
      <c r="D53"/>
      <c r="E53"/>
      <c r="L53" s="76"/>
    </row>
    <row r="56" spans="2:21" x14ac:dyDescent="0.25">
      <c r="B56" s="47" t="s">
        <v>38</v>
      </c>
      <c r="L56" s="46" t="s">
        <v>116</v>
      </c>
      <c r="M56" s="7"/>
      <c r="N56" s="7"/>
      <c r="O56" s="7"/>
    </row>
    <row r="57" spans="2:21" x14ac:dyDescent="0.25">
      <c r="B57" s="48" t="s">
        <v>34</v>
      </c>
      <c r="C57" s="48"/>
      <c r="D57" s="48"/>
      <c r="E57" s="45" t="s">
        <v>40</v>
      </c>
      <c r="F57" s="45" t="s">
        <v>35</v>
      </c>
      <c r="G57" s="45" t="s">
        <v>118</v>
      </c>
      <c r="H57" s="45" t="s">
        <v>119</v>
      </c>
      <c r="I57" s="45" t="s">
        <v>41</v>
      </c>
      <c r="J57" s="45" t="s">
        <v>36</v>
      </c>
      <c r="L57" s="37" t="s">
        <v>106</v>
      </c>
      <c r="M57" s="37"/>
      <c r="N57" s="37"/>
      <c r="O57" s="116">
        <v>50</v>
      </c>
    </row>
    <row r="58" spans="2:21" x14ac:dyDescent="0.25">
      <c r="B58" s="44" t="s">
        <v>33</v>
      </c>
      <c r="E58" s="52">
        <v>450</v>
      </c>
      <c r="F58" s="55">
        <v>1.4999999999999999E-2</v>
      </c>
      <c r="I58" s="148">
        <v>0</v>
      </c>
      <c r="J58" s="50">
        <f>$E$39*I58</f>
        <v>0</v>
      </c>
      <c r="L58" s="37" t="s">
        <v>42</v>
      </c>
      <c r="M58" s="37"/>
      <c r="N58" s="37"/>
      <c r="O58" s="117">
        <v>5.0000000000000001E-3</v>
      </c>
    </row>
    <row r="59" spans="2:21" x14ac:dyDescent="0.25">
      <c r="B59" s="44" t="s">
        <v>37</v>
      </c>
      <c r="E59" s="52">
        <v>650</v>
      </c>
      <c r="F59" s="55">
        <v>1.4999999999999999E-2</v>
      </c>
      <c r="G59" s="191">
        <v>1.4999999999999999E-2</v>
      </c>
      <c r="H59" s="119">
        <v>0.75</v>
      </c>
      <c r="I59" s="148">
        <v>5</v>
      </c>
      <c r="J59" s="51">
        <f>MROUND($E$39*I59,5)</f>
        <v>270</v>
      </c>
      <c r="L59" s="37" t="s">
        <v>58</v>
      </c>
      <c r="M59" s="37"/>
      <c r="N59" s="37"/>
      <c r="O59" s="116">
        <v>0</v>
      </c>
    </row>
    <row r="60" spans="2:21" x14ac:dyDescent="0.25">
      <c r="B60" s="21" t="s">
        <v>39</v>
      </c>
      <c r="C60" s="21"/>
      <c r="D60" s="21"/>
      <c r="E60" s="21"/>
      <c r="F60" s="21"/>
      <c r="G60" s="21"/>
      <c r="H60" s="21"/>
      <c r="I60" s="21"/>
      <c r="J60" s="43">
        <f>SUM(J58:J59)</f>
        <v>270</v>
      </c>
      <c r="L60" s="37" t="s">
        <v>117</v>
      </c>
      <c r="M60" s="37"/>
      <c r="N60" s="37"/>
      <c r="O60" s="181">
        <v>1</v>
      </c>
    </row>
    <row r="61" spans="2:21" x14ac:dyDescent="0.25">
      <c r="B61" s="37"/>
      <c r="C61" s="37"/>
      <c r="D61" s="37"/>
      <c r="E61" s="37"/>
      <c r="L61" s="37" t="s">
        <v>111</v>
      </c>
      <c r="M61" s="37"/>
      <c r="N61" s="37"/>
      <c r="O61" s="118">
        <v>6</v>
      </c>
    </row>
    <row r="62" spans="2:21" x14ac:dyDescent="0.25">
      <c r="B62" s="120"/>
      <c r="C62" s="120"/>
      <c r="D62" s="120"/>
      <c r="E62" s="120"/>
      <c r="L62" s="37" t="s">
        <v>114</v>
      </c>
      <c r="M62" s="37"/>
      <c r="N62" s="37"/>
      <c r="O62" s="117">
        <v>0.01</v>
      </c>
    </row>
    <row r="63" spans="2:21" x14ac:dyDescent="0.25">
      <c r="B63" s="120"/>
      <c r="C63" s="120"/>
      <c r="D63" s="120"/>
      <c r="E63" s="120"/>
    </row>
    <row r="65" spans="1:16" ht="15.6" x14ac:dyDescent="0.3">
      <c r="A65" s="9" t="s">
        <v>1</v>
      </c>
      <c r="B65" s="32" t="s">
        <v>28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</row>
    <row r="66" spans="1:16" s="37" customFormat="1" ht="15" customHeight="1" x14ac:dyDescent="0.25">
      <c r="A66" s="34"/>
      <c r="B66" s="35" t="s">
        <v>29</v>
      </c>
      <c r="C66" s="36"/>
      <c r="D66" s="71"/>
      <c r="E66" s="71"/>
      <c r="G66" s="17" t="s">
        <v>30</v>
      </c>
      <c r="H66" s="18"/>
      <c r="I66" s="71"/>
      <c r="J66" s="71"/>
      <c r="L66" s="17" t="s">
        <v>61</v>
      </c>
      <c r="M66" s="18"/>
      <c r="N66" s="70"/>
      <c r="O66" s="70"/>
      <c r="P66" s="6"/>
    </row>
    <row r="67" spans="1:16" s="37" customFormat="1" ht="15" customHeight="1" x14ac:dyDescent="0.25">
      <c r="A67" s="34"/>
      <c r="B67" s="38"/>
      <c r="D67" s="71" t="s">
        <v>41</v>
      </c>
      <c r="E67" s="71" t="s">
        <v>48</v>
      </c>
      <c r="G67" s="38"/>
      <c r="I67" s="71" t="s">
        <v>41</v>
      </c>
      <c r="J67" s="71" t="s">
        <v>48</v>
      </c>
      <c r="L67" s="39"/>
      <c r="N67" s="74" t="s">
        <v>48</v>
      </c>
      <c r="O67" s="74" t="s">
        <v>49</v>
      </c>
      <c r="P67" s="6"/>
    </row>
    <row r="68" spans="1:16" x14ac:dyDescent="0.25">
      <c r="B68" s="6" t="str">
        <f>B58</f>
        <v>Revolver</v>
      </c>
      <c r="D68" s="72">
        <f>E68/$E$39</f>
        <v>0</v>
      </c>
      <c r="E68" s="50">
        <f>J58</f>
        <v>0</v>
      </c>
      <c r="G68" s="6" t="s">
        <v>45</v>
      </c>
      <c r="I68" s="72">
        <f>J68/$E$39</f>
        <v>10</v>
      </c>
      <c r="J68" s="58">
        <f>E41</f>
        <v>538.67112000000031</v>
      </c>
      <c r="L68" s="6" t="str">
        <f>L45</f>
        <v>Zachary</v>
      </c>
      <c r="N68" s="50">
        <f>N50</f>
        <v>0</v>
      </c>
      <c r="O68" s="69">
        <f>N68/N$72</f>
        <v>0</v>
      </c>
    </row>
    <row r="69" spans="1:16" x14ac:dyDescent="0.25">
      <c r="B69" s="6" t="str">
        <f>B59</f>
        <v>Unitranche Term Loan</v>
      </c>
      <c r="D69" s="72">
        <f>E69/$E$39</f>
        <v>5.0123347990142824</v>
      </c>
      <c r="E69" s="51">
        <f>J59</f>
        <v>270</v>
      </c>
      <c r="G69" s="6" t="s">
        <v>57</v>
      </c>
      <c r="I69" s="72">
        <f>J69/$E$39</f>
        <v>0</v>
      </c>
      <c r="J69" s="51">
        <f>O59</f>
        <v>0</v>
      </c>
      <c r="L69" s="6" t="str">
        <f>L46</f>
        <v>Other Mgmt</v>
      </c>
      <c r="N69" s="51">
        <f>N51</f>
        <v>0</v>
      </c>
      <c r="O69" s="69">
        <f t="shared" ref="O69:O70" si="15">N69/N$72</f>
        <v>0</v>
      </c>
    </row>
    <row r="70" spans="1:16" x14ac:dyDescent="0.25">
      <c r="B70" s="44" t="s">
        <v>43</v>
      </c>
      <c r="D70" s="72">
        <f>E70/$E$39</f>
        <v>0</v>
      </c>
      <c r="E70" s="51">
        <f>N52</f>
        <v>0</v>
      </c>
      <c r="G70" s="6" t="s">
        <v>56</v>
      </c>
      <c r="I70" s="72">
        <f>J70/$E$39</f>
        <v>3.7128405918624312E-2</v>
      </c>
      <c r="J70" s="68">
        <v>2</v>
      </c>
      <c r="L70" s="6" t="str">
        <f>B71</f>
        <v>WSPCP Equity</v>
      </c>
      <c r="N70" s="51">
        <f>E71</f>
        <v>277.07112000000029</v>
      </c>
      <c r="O70" s="69">
        <f t="shared" si="15"/>
        <v>1</v>
      </c>
    </row>
    <row r="71" spans="1:16" x14ac:dyDescent="0.25">
      <c r="B71" s="44" t="s">
        <v>44</v>
      </c>
      <c r="D71" s="72">
        <f>E71/$E$39</f>
        <v>5.143604505843939</v>
      </c>
      <c r="E71" s="51">
        <f>J72-SUM(E68:E70)</f>
        <v>277.07112000000029</v>
      </c>
      <c r="G71" s="6" t="s">
        <v>60</v>
      </c>
      <c r="I71" s="72">
        <f>J71/$E$39</f>
        <v>0.1188108989395978</v>
      </c>
      <c r="J71" s="68">
        <v>6.4</v>
      </c>
      <c r="O71" s="69"/>
    </row>
    <row r="72" spans="1:16" x14ac:dyDescent="0.25">
      <c r="B72" s="21" t="s">
        <v>31</v>
      </c>
      <c r="C72" s="21"/>
      <c r="D72" s="73">
        <f>E72/$E$39</f>
        <v>10.15593930485822</v>
      </c>
      <c r="E72" s="43">
        <f>SUM(E68:E71)</f>
        <v>547.07112000000029</v>
      </c>
      <c r="G72" s="21" t="s">
        <v>32</v>
      </c>
      <c r="H72" s="21"/>
      <c r="I72" s="73">
        <f>J72/$E$39</f>
        <v>10.15593930485822</v>
      </c>
      <c r="J72" s="43">
        <f>SUM(J68:J71)</f>
        <v>547.07112000000029</v>
      </c>
      <c r="L72" s="21" t="s">
        <v>62</v>
      </c>
      <c r="M72" s="21"/>
      <c r="N72" s="43">
        <f>SUM(N68:N71)</f>
        <v>277.07112000000029</v>
      </c>
      <c r="O72" s="75">
        <f>SUM(O68:O71)</f>
        <v>1</v>
      </c>
    </row>
    <row r="73" spans="1:16" x14ac:dyDescent="0.25">
      <c r="E73" s="180"/>
    </row>
    <row r="75" spans="1:16" ht="15.6" x14ac:dyDescent="0.3">
      <c r="A75" s="9" t="s">
        <v>1</v>
      </c>
      <c r="B75" s="32" t="s">
        <v>0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</row>
    <row r="76" spans="1:16" s="37" customFormat="1" x14ac:dyDescent="0.25">
      <c r="A76" s="34"/>
      <c r="B76" s="17" t="s">
        <v>2</v>
      </c>
      <c r="C76" s="18"/>
      <c r="D76" s="18"/>
      <c r="E76" s="18"/>
      <c r="F76" s="18"/>
      <c r="G76" s="18"/>
      <c r="H76" s="18"/>
      <c r="I76" s="18"/>
      <c r="J76" s="19">
        <v>2019</v>
      </c>
      <c r="K76" s="20">
        <f>J76+1</f>
        <v>2020</v>
      </c>
      <c r="L76" s="20">
        <f t="shared" ref="L76:O76" si="16">K76+1</f>
        <v>2021</v>
      </c>
      <c r="M76" s="20">
        <f t="shared" si="16"/>
        <v>2022</v>
      </c>
      <c r="N76" s="20">
        <f t="shared" si="16"/>
        <v>2023</v>
      </c>
      <c r="O76" s="20">
        <f t="shared" si="16"/>
        <v>2024</v>
      </c>
    </row>
    <row r="77" spans="1:16" ht="15" customHeight="1" x14ac:dyDescent="0.25">
      <c r="B77" s="10" t="s">
        <v>77</v>
      </c>
      <c r="C77" s="10"/>
      <c r="D77" s="10"/>
      <c r="E77" s="10"/>
      <c r="F77" s="12"/>
      <c r="G77" s="12"/>
      <c r="H77" s="12"/>
      <c r="I77" s="12"/>
      <c r="J77" s="12">
        <v>454.72</v>
      </c>
      <c r="K77" s="30">
        <f>J77*(1+K92)</f>
        <v>493.48450000000003</v>
      </c>
      <c r="L77" s="30">
        <f>K77*(1+L92)</f>
        <v>533.15323133999993</v>
      </c>
      <c r="M77" s="30">
        <f>L77*(1+M92)</f>
        <v>574.05362297540398</v>
      </c>
      <c r="N77" s="30">
        <f>M77*(1+N92)</f>
        <v>615.19305082446851</v>
      </c>
      <c r="O77" s="30">
        <f>N77*(1+O92)</f>
        <v>655.89402799919424</v>
      </c>
    </row>
    <row r="78" spans="1:16" x14ac:dyDescent="0.25">
      <c r="B78" s="10" t="s">
        <v>3</v>
      </c>
      <c r="C78" s="10"/>
      <c r="D78" s="10"/>
      <c r="E78" s="10"/>
      <c r="F78" s="13"/>
      <c r="G78" s="13"/>
      <c r="H78" s="13"/>
      <c r="I78" s="13"/>
      <c r="J78" s="13">
        <v>-280.23969999999997</v>
      </c>
      <c r="K78" s="31">
        <f>K77*(1-K93)*(-1)</f>
        <v>-298.98273499999999</v>
      </c>
      <c r="L78" s="31">
        <f>L77*(1-L93)*(-1)</f>
        <v>-317.52345544999997</v>
      </c>
      <c r="M78" s="31">
        <f>M77*(1-M93)*(-1)</f>
        <v>-336.28799196949996</v>
      </c>
      <c r="N78" s="31">
        <f>N77*(1-N93)*(-1)</f>
        <v>-354.58748761482502</v>
      </c>
      <c r="O78" s="31">
        <f>O77*(1-O93)*(-1)</f>
        <v>-371.93915990568576</v>
      </c>
    </row>
    <row r="79" spans="1:16" x14ac:dyDescent="0.25">
      <c r="B79" s="11" t="s">
        <v>4</v>
      </c>
      <c r="C79" s="11"/>
      <c r="D79" s="11"/>
      <c r="E79" s="11"/>
      <c r="F79" s="14"/>
      <c r="G79" s="14"/>
      <c r="H79" s="14"/>
      <c r="I79" s="14"/>
      <c r="J79" s="14">
        <f>SUM(J77:J78)</f>
        <v>174.48030000000006</v>
      </c>
      <c r="K79" s="14">
        <f t="shared" ref="K79:O79" si="17">SUM(K77:K78)</f>
        <v>194.50176500000003</v>
      </c>
      <c r="L79" s="14">
        <f t="shared" si="17"/>
        <v>215.62977588999996</v>
      </c>
      <c r="M79" s="14">
        <f t="shared" si="17"/>
        <v>237.76563100590403</v>
      </c>
      <c r="N79" s="14">
        <f t="shared" si="17"/>
        <v>260.60556320964349</v>
      </c>
      <c r="O79" s="14">
        <f t="shared" si="17"/>
        <v>283.95486809350848</v>
      </c>
    </row>
    <row r="80" spans="1:16" x14ac:dyDescent="0.25">
      <c r="B80" s="10" t="s">
        <v>147</v>
      </c>
      <c r="C80" s="10"/>
      <c r="D80" s="10"/>
      <c r="E80" s="10"/>
      <c r="F80" s="13"/>
      <c r="G80" s="13"/>
      <c r="H80" s="13"/>
      <c r="I80" s="13"/>
      <c r="J80" s="25">
        <v>-120.61318800000002</v>
      </c>
      <c r="K80" s="31">
        <f>K94*K77*(-1)</f>
        <v>-133.66428470000002</v>
      </c>
      <c r="L80" s="31">
        <f>L94*L77*(-1)</f>
        <v>-145.44979543549999</v>
      </c>
      <c r="M80" s="31">
        <f>M94*M77*(-1)</f>
        <v>-157.65239405961208</v>
      </c>
      <c r="N80" s="31">
        <f>N94*N77*(-1)</f>
        <v>-170.05203574353123</v>
      </c>
      <c r="O80" s="31">
        <f>O94*O77*(-1)</f>
        <v>-182.5539927483193</v>
      </c>
    </row>
    <row r="81" spans="2:21" x14ac:dyDescent="0.25">
      <c r="B81" s="61" t="s">
        <v>5</v>
      </c>
      <c r="C81" s="61"/>
      <c r="D81" s="61"/>
      <c r="E81" s="61"/>
      <c r="F81" s="16"/>
      <c r="G81" s="16"/>
      <c r="H81" s="16"/>
      <c r="I81" s="16"/>
      <c r="J81" s="16">
        <f t="shared" ref="J81:O81" si="18">SUM(J79:J80)</f>
        <v>53.867112000000034</v>
      </c>
      <c r="K81" s="16">
        <f t="shared" si="18"/>
        <v>60.83748030000001</v>
      </c>
      <c r="L81" s="16">
        <f t="shared" si="18"/>
        <v>70.179980454499969</v>
      </c>
      <c r="M81" s="16">
        <f t="shared" si="18"/>
        <v>80.113236946291948</v>
      </c>
      <c r="N81" s="16">
        <f t="shared" si="18"/>
        <v>90.553527466112257</v>
      </c>
      <c r="O81" s="16">
        <f t="shared" si="18"/>
        <v>101.40087534518918</v>
      </c>
    </row>
    <row r="82" spans="2:21" x14ac:dyDescent="0.25">
      <c r="B82" s="10" t="s">
        <v>6</v>
      </c>
      <c r="C82" s="10"/>
      <c r="D82" s="10"/>
      <c r="E82" s="10"/>
      <c r="F82" s="13"/>
      <c r="G82" s="13"/>
      <c r="H82" s="13"/>
      <c r="I82" s="13"/>
      <c r="J82" s="13">
        <v>-25</v>
      </c>
      <c r="K82" s="31">
        <f>K121*(-1)</f>
        <v>-23.381756599999999</v>
      </c>
      <c r="L82" s="31">
        <f t="shared" ref="L82:O82" si="19">L121*(-1)</f>
        <v>-24.42300891441867</v>
      </c>
      <c r="M82" s="31">
        <f t="shared" si="19"/>
        <v>-25.689854773168467</v>
      </c>
      <c r="N82" s="31">
        <f t="shared" si="19"/>
        <v>-27.186412126474774</v>
      </c>
      <c r="O82" s="31">
        <f t="shared" si="19"/>
        <v>-28.912122613847693</v>
      </c>
    </row>
    <row r="83" spans="2:21" x14ac:dyDescent="0.25">
      <c r="B83" s="11" t="s">
        <v>7</v>
      </c>
      <c r="C83" s="11"/>
      <c r="D83" s="11"/>
      <c r="E83" s="11"/>
      <c r="F83" s="14"/>
      <c r="G83" s="14"/>
      <c r="H83" s="14"/>
      <c r="I83" s="14"/>
      <c r="J83" s="14">
        <f>SUM(J81:J82)</f>
        <v>28.867112000000034</v>
      </c>
      <c r="K83" s="14">
        <f t="shared" ref="K83:O83" si="20">SUM(K81:K82)</f>
        <v>37.455723700000007</v>
      </c>
      <c r="L83" s="14">
        <f t="shared" si="20"/>
        <v>45.756971540081295</v>
      </c>
      <c r="M83" s="14">
        <f t="shared" si="20"/>
        <v>54.423382173123485</v>
      </c>
      <c r="N83" s="14">
        <f t="shared" si="20"/>
        <v>63.367115339637479</v>
      </c>
      <c r="O83" s="14">
        <f t="shared" si="20"/>
        <v>72.488752731341492</v>
      </c>
    </row>
    <row r="84" spans="2:21" x14ac:dyDescent="0.25">
      <c r="B84" s="10" t="s">
        <v>8</v>
      </c>
      <c r="C84" s="10"/>
      <c r="D84" s="10"/>
      <c r="E84" s="10"/>
      <c r="F84" s="15"/>
      <c r="G84" s="15"/>
      <c r="H84" s="15"/>
      <c r="I84" s="15"/>
      <c r="J84" s="15">
        <v>0.5</v>
      </c>
      <c r="K84" s="28">
        <f ca="1">K177*(-1)</f>
        <v>0</v>
      </c>
      <c r="L84" s="28">
        <f ca="1">L177*(-1)</f>
        <v>0</v>
      </c>
      <c r="M84" s="28">
        <f t="shared" ref="M84:O84" ca="1" si="21">M177*(-1)</f>
        <v>0</v>
      </c>
      <c r="N84" s="28">
        <f t="shared" ca="1" si="21"/>
        <v>0</v>
      </c>
      <c r="O84" s="28">
        <f t="shared" ca="1" si="21"/>
        <v>1.3639661040232261E-2</v>
      </c>
      <c r="P84" s="28"/>
      <c r="Q84" s="28"/>
      <c r="R84" s="28"/>
      <c r="S84" s="28"/>
      <c r="T84" s="28"/>
      <c r="U84" s="28"/>
    </row>
    <row r="85" spans="2:21" x14ac:dyDescent="0.25">
      <c r="B85" s="10" t="s">
        <v>9</v>
      </c>
      <c r="C85" s="10"/>
      <c r="D85" s="10"/>
      <c r="E85" s="10"/>
      <c r="F85" s="13"/>
      <c r="G85" s="13"/>
      <c r="H85" s="13"/>
      <c r="I85" s="13"/>
      <c r="J85" s="13">
        <v>-2.5</v>
      </c>
      <c r="K85" s="31">
        <f ca="1">K176*(-1)</f>
        <v>-22.945616859864604</v>
      </c>
      <c r="L85" s="31">
        <f ca="1">L176*(-1)</f>
        <v>-23.575956932976197</v>
      </c>
      <c r="M85" s="31">
        <f t="shared" ref="M85:O85" ca="1" si="22">M176*(-1)</f>
        <v>-23.956339903766231</v>
      </c>
      <c r="N85" s="31">
        <f t="shared" ca="1" si="22"/>
        <v>-24.015967141966705</v>
      </c>
      <c r="O85" s="31">
        <f t="shared" ca="1" si="22"/>
        <v>-23.662319432444363</v>
      </c>
      <c r="P85" s="31"/>
      <c r="Q85" s="31"/>
      <c r="R85" s="31"/>
      <c r="S85" s="31"/>
      <c r="T85" s="31"/>
      <c r="U85" s="31"/>
    </row>
    <row r="86" spans="2:21" x14ac:dyDescent="0.25">
      <c r="B86" s="10" t="s">
        <v>53</v>
      </c>
      <c r="C86" s="10"/>
      <c r="D86" s="10"/>
      <c r="E86" s="10"/>
      <c r="F86" s="13"/>
      <c r="G86" s="13"/>
      <c r="H86" s="13"/>
      <c r="I86" s="13"/>
      <c r="J86" s="13">
        <v>0</v>
      </c>
      <c r="K86" s="31">
        <f>MAX($J$46*K81,$J$45)*(-1)</f>
        <v>-5</v>
      </c>
      <c r="L86" s="31">
        <f t="shared" ref="L86:O86" si="23">MAX($J$46*L81,$J$45)*(-1)</f>
        <v>-5</v>
      </c>
      <c r="M86" s="31">
        <f t="shared" si="23"/>
        <v>-5</v>
      </c>
      <c r="N86" s="31">
        <f t="shared" si="23"/>
        <v>-5</v>
      </c>
      <c r="O86" s="31">
        <f t="shared" si="23"/>
        <v>-5.0700437672594596</v>
      </c>
    </row>
    <row r="87" spans="2:21" x14ac:dyDescent="0.25">
      <c r="B87" s="11" t="s">
        <v>10</v>
      </c>
      <c r="C87" s="11"/>
      <c r="D87" s="11"/>
      <c r="E87" s="11"/>
      <c r="F87" s="14"/>
      <c r="G87" s="14"/>
      <c r="H87" s="14"/>
      <c r="I87" s="14"/>
      <c r="J87" s="14">
        <f>SUM(J83:J86)</f>
        <v>26.867112000000034</v>
      </c>
      <c r="K87" s="14">
        <f t="shared" ref="K87:O87" ca="1" si="24">SUM(K83:K86)</f>
        <v>9.5101068401354034</v>
      </c>
      <c r="L87" s="14">
        <f t="shared" ca="1" si="24"/>
        <v>17.181014607105098</v>
      </c>
      <c r="M87" s="14">
        <f t="shared" ca="1" si="24"/>
        <v>25.467042269357254</v>
      </c>
      <c r="N87" s="14">
        <f t="shared" ca="1" si="24"/>
        <v>34.351148197670774</v>
      </c>
      <c r="O87" s="14">
        <f t="shared" ca="1" si="24"/>
        <v>43.770029192677896</v>
      </c>
    </row>
    <row r="88" spans="2:21" x14ac:dyDescent="0.25">
      <c r="B88" s="10" t="s">
        <v>11</v>
      </c>
      <c r="C88" s="10"/>
      <c r="D88" s="10"/>
      <c r="E88" s="10"/>
      <c r="F88" s="13"/>
      <c r="G88" s="13"/>
      <c r="H88" s="13"/>
      <c r="I88" s="13"/>
      <c r="J88" s="13">
        <v>-6.9854491200000091</v>
      </c>
      <c r="K88" s="31">
        <f ca="1">K87*K95*(-1)</f>
        <v>-2.4726277784352049</v>
      </c>
      <c r="L88" s="31">
        <f ca="1">L87*L95*(-1)</f>
        <v>-4.4670637978473255</v>
      </c>
      <c r="M88" s="31">
        <f ca="1">M87*M95*(-1)</f>
        <v>-6.621430990032886</v>
      </c>
      <c r="N88" s="31">
        <f ca="1">N87*N95*(-1)</f>
        <v>-8.9312985313944022</v>
      </c>
      <c r="O88" s="31">
        <f ca="1">O87*O95*(-1)</f>
        <v>-11.380207590096253</v>
      </c>
    </row>
    <row r="89" spans="2:21" x14ac:dyDescent="0.25">
      <c r="B89" s="21" t="s">
        <v>12</v>
      </c>
      <c r="C89" s="21"/>
      <c r="D89" s="21"/>
      <c r="E89" s="21"/>
      <c r="F89" s="22"/>
      <c r="G89" s="22"/>
      <c r="H89" s="22"/>
      <c r="I89" s="22"/>
      <c r="J89" s="22">
        <f>SUM(J87:J88)</f>
        <v>19.881662880000025</v>
      </c>
      <c r="K89" s="22">
        <f t="shared" ref="K89:O89" ca="1" si="25">SUM(K87:K88)</f>
        <v>7.0374790617001981</v>
      </c>
      <c r="L89" s="22">
        <f t="shared" ca="1" si="25"/>
        <v>12.713950809257772</v>
      </c>
      <c r="M89" s="22">
        <f t="shared" ca="1" si="25"/>
        <v>18.845611279324366</v>
      </c>
      <c r="N89" s="22">
        <f t="shared" ca="1" si="25"/>
        <v>25.41984966627637</v>
      </c>
      <c r="O89" s="22">
        <f t="shared" ca="1" si="25"/>
        <v>32.389821602581641</v>
      </c>
    </row>
    <row r="91" spans="2:21" x14ac:dyDescent="0.25">
      <c r="B91" s="62" t="s">
        <v>73</v>
      </c>
      <c r="J91" s="78"/>
    </row>
    <row r="92" spans="2:21" x14ac:dyDescent="0.25">
      <c r="B92" s="6" t="s">
        <v>78</v>
      </c>
      <c r="K92" s="188">
        <v>8.5249164320900794E-2</v>
      </c>
      <c r="L92" s="188">
        <v>8.038495908179466E-2</v>
      </c>
      <c r="M92" s="188">
        <v>7.6714140009256138E-2</v>
      </c>
      <c r="N92" s="188">
        <v>7.1664782178070485E-2</v>
      </c>
      <c r="O92" s="188">
        <v>6.6159682916084872E-2</v>
      </c>
    </row>
    <row r="93" spans="2:21" ht="14.4" x14ac:dyDescent="0.3">
      <c r="B93" s="6" t="s">
        <v>74</v>
      </c>
      <c r="F93"/>
      <c r="G93"/>
      <c r="J93" s="78">
        <f>J79/J$77</f>
        <v>0.38370931562280097</v>
      </c>
      <c r="K93" s="188">
        <v>0.39413956264077193</v>
      </c>
      <c r="L93" s="188">
        <v>0.40444240645048174</v>
      </c>
      <c r="M93" s="188">
        <v>0.41418714470179624</v>
      </c>
      <c r="N93" s="188">
        <v>0.42361590863288445</v>
      </c>
      <c r="O93" s="188">
        <v>0.43292796697617947</v>
      </c>
    </row>
    <row r="94" spans="2:21" ht="14.4" x14ac:dyDescent="0.3">
      <c r="B94" s="6" t="s">
        <v>76</v>
      </c>
      <c r="F94"/>
      <c r="G94"/>
      <c r="J94" s="78">
        <f>J80/J$77*(-1)</f>
        <v>0.26524715869106269</v>
      </c>
      <c r="K94" s="188">
        <v>0.27085812158233952</v>
      </c>
      <c r="L94" s="188">
        <v>0.27281049215426106</v>
      </c>
      <c r="M94" s="188">
        <v>0.27463008288751256</v>
      </c>
      <c r="N94" s="188">
        <v>0.2764206057198324</v>
      </c>
      <c r="O94" s="188">
        <v>0.27832848746191596</v>
      </c>
    </row>
    <row r="95" spans="2:21" x14ac:dyDescent="0.25">
      <c r="B95" s="6" t="s">
        <v>115</v>
      </c>
      <c r="F95" s="76"/>
      <c r="G95" s="79"/>
      <c r="J95" s="78"/>
      <c r="K95" s="168">
        <v>0.26</v>
      </c>
      <c r="L95" s="168">
        <v>0.26</v>
      </c>
      <c r="M95" s="168">
        <v>0.26</v>
      </c>
      <c r="N95" s="168">
        <v>0.26</v>
      </c>
      <c r="O95" s="168">
        <v>0.26</v>
      </c>
    </row>
    <row r="97" spans="1:19" ht="15.6" x14ac:dyDescent="0.3">
      <c r="A97" s="9" t="s">
        <v>1</v>
      </c>
      <c r="B97" s="32" t="s">
        <v>138</v>
      </c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</row>
    <row r="98" spans="1:19" s="37" customFormat="1" x14ac:dyDescent="0.25">
      <c r="A98" s="34"/>
      <c r="B98" s="17" t="str">
        <f>B$76</f>
        <v>Year</v>
      </c>
      <c r="C98" s="18"/>
      <c r="D98" s="18"/>
      <c r="E98" s="18"/>
      <c r="F98" s="18"/>
      <c r="G98" s="42"/>
      <c r="H98" s="42"/>
      <c r="I98" s="190"/>
      <c r="J98" s="42">
        <f t="shared" ref="J98:O98" si="26">J$76</f>
        <v>2019</v>
      </c>
      <c r="K98" s="20">
        <f t="shared" si="26"/>
        <v>2020</v>
      </c>
      <c r="L98" s="20">
        <f t="shared" si="26"/>
        <v>2021</v>
      </c>
      <c r="M98" s="20">
        <f t="shared" si="26"/>
        <v>2022</v>
      </c>
      <c r="N98" s="20">
        <f t="shared" si="26"/>
        <v>2023</v>
      </c>
      <c r="O98" s="20">
        <f t="shared" si="26"/>
        <v>2024</v>
      </c>
    </row>
    <row r="99" spans="1:19" ht="14.4" x14ac:dyDescent="0.3">
      <c r="B99" s="23" t="s">
        <v>15</v>
      </c>
      <c r="C99" s="23"/>
      <c r="D99" s="23"/>
      <c r="E99" s="23"/>
      <c r="F99" s="23"/>
      <c r="G99" s="31"/>
      <c r="H99" s="31"/>
      <c r="I99" s="31"/>
      <c r="J99" s="189">
        <v>15.081514074677653</v>
      </c>
      <c r="K99" s="178"/>
      <c r="L99" s="178"/>
      <c r="M99" s="178"/>
      <c r="N99" s="178"/>
      <c r="O99" s="178"/>
      <c r="S99" s="50"/>
    </row>
    <row r="100" spans="1:19" ht="14.4" x14ac:dyDescent="0.3">
      <c r="B100" s="23" t="s">
        <v>16</v>
      </c>
      <c r="C100" s="23"/>
      <c r="D100" s="23"/>
      <c r="E100" s="23"/>
      <c r="F100" s="23"/>
      <c r="G100" s="31"/>
      <c r="H100" s="31"/>
      <c r="I100" s="31"/>
      <c r="J100" s="173">
        <v>26.234835789140131</v>
      </c>
      <c r="K100" s="178"/>
      <c r="L100" s="178"/>
      <c r="M100" s="178"/>
      <c r="N100" s="178"/>
      <c r="O100" s="178"/>
    </row>
    <row r="101" spans="1:19" ht="14.4" x14ac:dyDescent="0.3">
      <c r="B101" s="23" t="s">
        <v>17</v>
      </c>
      <c r="C101" s="23"/>
      <c r="D101" s="23"/>
      <c r="E101" s="23"/>
      <c r="F101" s="23"/>
      <c r="G101" s="31"/>
      <c r="H101" s="31"/>
      <c r="I101" s="31"/>
      <c r="J101" s="173">
        <v>8.3744258089827461</v>
      </c>
      <c r="K101" s="178"/>
      <c r="L101" s="178"/>
      <c r="M101" s="178"/>
      <c r="N101" s="178"/>
      <c r="O101" s="178"/>
    </row>
    <row r="102" spans="1:19" ht="14.4" x14ac:dyDescent="0.3">
      <c r="B102" s="111" t="s">
        <v>18</v>
      </c>
      <c r="C102" s="111"/>
      <c r="D102" s="111"/>
      <c r="E102" s="111"/>
      <c r="F102" s="111"/>
      <c r="G102" s="113"/>
      <c r="H102" s="113"/>
      <c r="I102" s="113"/>
      <c r="J102" s="174">
        <v>21.826560000000001</v>
      </c>
      <c r="K102" s="179"/>
      <c r="L102" s="179"/>
      <c r="M102" s="179"/>
      <c r="N102" s="179"/>
      <c r="O102" s="179"/>
    </row>
    <row r="103" spans="1:19" x14ac:dyDescent="0.25">
      <c r="B103" s="169" t="s">
        <v>139</v>
      </c>
      <c r="C103" s="169"/>
      <c r="D103" s="169"/>
      <c r="E103" s="169"/>
      <c r="F103" s="169"/>
      <c r="G103" s="170"/>
      <c r="H103" s="170"/>
      <c r="I103" s="170"/>
      <c r="J103" s="185">
        <f>SUM(J99:J102)</f>
        <v>71.517335672800527</v>
      </c>
      <c r="K103" s="185">
        <f>+K110*K112</f>
        <v>77.614128773364115</v>
      </c>
      <c r="L103" s="185">
        <f t="shared" ref="L103:O103" si="27">+L110*L112</f>
        <v>83.853137338980133</v>
      </c>
      <c r="M103" s="185">
        <f t="shared" si="27"/>
        <v>90.285858657018039</v>
      </c>
      <c r="N103" s="185">
        <f t="shared" si="27"/>
        <v>96.756175051433289</v>
      </c>
      <c r="O103" s="185">
        <f t="shared" si="27"/>
        <v>103.15753291300932</v>
      </c>
    </row>
    <row r="104" spans="1:19" ht="14.4" x14ac:dyDescent="0.3">
      <c r="B104" s="23"/>
      <c r="C104" s="23"/>
      <c r="D104" s="23"/>
      <c r="E104" s="23"/>
      <c r="F104" s="23"/>
      <c r="G104" s="27"/>
      <c r="H104" s="27"/>
      <c r="I104" s="27"/>
      <c r="J104" s="175"/>
      <c r="K104"/>
      <c r="L104"/>
      <c r="M104"/>
      <c r="N104"/>
      <c r="O104"/>
    </row>
    <row r="105" spans="1:19" ht="14.4" x14ac:dyDescent="0.3">
      <c r="B105" s="23" t="s">
        <v>19</v>
      </c>
      <c r="C105" s="23"/>
      <c r="D105" s="23"/>
      <c r="E105" s="23"/>
      <c r="F105" s="23"/>
      <c r="G105" s="30"/>
      <c r="H105" s="30"/>
      <c r="I105" s="30"/>
      <c r="J105" s="176">
        <v>13.8</v>
      </c>
      <c r="K105" s="178"/>
      <c r="L105" s="178"/>
      <c r="M105" s="178"/>
      <c r="N105" s="178"/>
      <c r="O105" s="178"/>
    </row>
    <row r="106" spans="1:19" ht="14.4" x14ac:dyDescent="0.3">
      <c r="B106" s="23" t="s">
        <v>150</v>
      </c>
      <c r="C106" s="23"/>
      <c r="D106" s="23"/>
      <c r="E106" s="23"/>
      <c r="F106" s="23"/>
      <c r="G106" s="31"/>
      <c r="H106" s="31"/>
      <c r="I106" s="31"/>
      <c r="J106" s="173">
        <v>36</v>
      </c>
      <c r="K106" s="178"/>
      <c r="L106" s="178"/>
      <c r="M106" s="178"/>
      <c r="N106" s="178"/>
      <c r="O106" s="178"/>
    </row>
    <row r="107" spans="1:19" ht="14.4" x14ac:dyDescent="0.3">
      <c r="B107" s="111" t="s">
        <v>21</v>
      </c>
      <c r="C107" s="111"/>
      <c r="D107" s="111"/>
      <c r="E107" s="111"/>
      <c r="F107" s="111"/>
      <c r="G107" s="171"/>
      <c r="H107" s="171"/>
      <c r="I107" s="171"/>
      <c r="J107" s="177">
        <v>23.645440000000001</v>
      </c>
      <c r="K107" s="179"/>
      <c r="L107" s="179"/>
      <c r="M107" s="179"/>
      <c r="N107" s="179"/>
      <c r="O107" s="179"/>
    </row>
    <row r="108" spans="1:19" x14ac:dyDescent="0.25">
      <c r="B108" s="172" t="s">
        <v>145</v>
      </c>
      <c r="C108" s="172"/>
      <c r="D108" s="172"/>
      <c r="E108" s="172"/>
      <c r="F108" s="172"/>
      <c r="G108" s="172"/>
      <c r="H108" s="172"/>
      <c r="I108" s="172"/>
      <c r="J108" s="186">
        <f>SUM(J105:J107)</f>
        <v>73.445439999999991</v>
      </c>
      <c r="K108" s="186">
        <f>+K110*K113</f>
        <v>79.706602383180851</v>
      </c>
      <c r="L108" s="186">
        <f t="shared" ref="L108:O108" si="28">+L110*L113</f>
        <v>86.113814354301709</v>
      </c>
      <c r="M108" s="186">
        <f t="shared" si="28"/>
        <v>92.719961565408695</v>
      </c>
      <c r="N108" s="186">
        <f t="shared" si="28"/>
        <v>99.364717414552786</v>
      </c>
      <c r="O108" s="186">
        <f t="shared" si="28"/>
        <v>105.93865561174597</v>
      </c>
    </row>
    <row r="109" spans="1:19" hidden="1" outlineLevel="1" x14ac:dyDescent="0.25"/>
    <row r="110" spans="1:19" hidden="1" outlineLevel="1" x14ac:dyDescent="0.25">
      <c r="B110" s="6" t="s">
        <v>140</v>
      </c>
      <c r="J110" s="50">
        <f t="shared" ref="J110:O110" si="29">J77</f>
        <v>454.72</v>
      </c>
      <c r="K110" s="50">
        <f t="shared" si="29"/>
        <v>493.48450000000003</v>
      </c>
      <c r="L110" s="50">
        <f t="shared" si="29"/>
        <v>533.15323133999993</v>
      </c>
      <c r="M110" s="50">
        <f t="shared" si="29"/>
        <v>574.05362297540398</v>
      </c>
      <c r="N110" s="50">
        <f t="shared" si="29"/>
        <v>615.19305082446851</v>
      </c>
      <c r="O110" s="50">
        <f t="shared" si="29"/>
        <v>655.89402799919424</v>
      </c>
    </row>
    <row r="111" spans="1:19" collapsed="1" x14ac:dyDescent="0.25"/>
    <row r="112" spans="1:19" x14ac:dyDescent="0.25">
      <c r="B112" s="6" t="str">
        <f>+B103&amp;" % of Revenue"</f>
        <v>CA + LTA (Ex PP&amp;E) % of Revenue</v>
      </c>
      <c r="J112" s="180">
        <f>+J103/J110</f>
        <v>0.15727774382653176</v>
      </c>
      <c r="K112" s="180">
        <f>+J112</f>
        <v>0.15727774382653176</v>
      </c>
      <c r="L112" s="180">
        <f t="shared" ref="L112:O113" si="30">+K112</f>
        <v>0.15727774382653176</v>
      </c>
      <c r="M112" s="180">
        <f t="shared" si="30"/>
        <v>0.15727774382653176</v>
      </c>
      <c r="N112" s="180">
        <f t="shared" si="30"/>
        <v>0.15727774382653176</v>
      </c>
      <c r="O112" s="180">
        <f t="shared" si="30"/>
        <v>0.15727774382653176</v>
      </c>
    </row>
    <row r="113" spans="1:15" x14ac:dyDescent="0.25">
      <c r="B113" s="6" t="str">
        <f>+B108&amp;" % of Revenue"</f>
        <v>CL + LTL % of Revenue</v>
      </c>
      <c r="J113" s="180">
        <f>+J108/J110</f>
        <v>0.16151794510907808</v>
      </c>
      <c r="K113" s="180">
        <f>+J113</f>
        <v>0.16151794510907808</v>
      </c>
      <c r="L113" s="180">
        <f t="shared" si="30"/>
        <v>0.16151794510907808</v>
      </c>
      <c r="M113" s="180">
        <f t="shared" si="30"/>
        <v>0.16151794510907808</v>
      </c>
      <c r="N113" s="180">
        <f t="shared" si="30"/>
        <v>0.16151794510907808</v>
      </c>
      <c r="O113" s="180">
        <f t="shared" si="30"/>
        <v>0.16151794510907808</v>
      </c>
    </row>
    <row r="115" spans="1:15" x14ac:dyDescent="0.25">
      <c r="B115" s="6" t="s">
        <v>79</v>
      </c>
      <c r="J115" s="78"/>
      <c r="K115" s="77">
        <v>7.0000000000000007E-2</v>
      </c>
      <c r="L115" s="77">
        <v>7.0000000000000007E-2</v>
      </c>
      <c r="M115" s="77">
        <v>7.0000000000000007E-2</v>
      </c>
      <c r="N115" s="77">
        <v>7.0000000000000007E-2</v>
      </c>
      <c r="O115" s="77">
        <v>7.0000000000000007E-2</v>
      </c>
    </row>
    <row r="116" spans="1:15" x14ac:dyDescent="0.25">
      <c r="B116" s="6" t="s">
        <v>80</v>
      </c>
      <c r="K116" s="77">
        <v>4.738093415294705E-2</v>
      </c>
      <c r="L116" s="77">
        <v>4.5808610881031581E-2</v>
      </c>
      <c r="M116" s="77">
        <v>4.4751663860275258E-2</v>
      </c>
      <c r="N116" s="77">
        <v>4.4191676238930409E-2</v>
      </c>
      <c r="O116" s="77">
        <v>4.4080478521879775E-2</v>
      </c>
    </row>
    <row r="118" spans="1:15" ht="15.6" x14ac:dyDescent="0.3">
      <c r="A118" s="9" t="s">
        <v>1</v>
      </c>
      <c r="B118" s="32" t="s">
        <v>22</v>
      </c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</row>
    <row r="119" spans="1:15" s="37" customFormat="1" x14ac:dyDescent="0.25">
      <c r="A119" s="34"/>
      <c r="B119" s="17" t="str">
        <f>B$76</f>
        <v>Year</v>
      </c>
      <c r="C119" s="18"/>
      <c r="D119" s="18"/>
      <c r="E119" s="18"/>
      <c r="F119" s="18"/>
      <c r="G119" s="40"/>
      <c r="H119" s="41"/>
      <c r="I119" s="41"/>
      <c r="J119" s="42"/>
      <c r="K119" s="20">
        <f>K$76</f>
        <v>2020</v>
      </c>
      <c r="L119" s="20">
        <f>L$76</f>
        <v>2021</v>
      </c>
      <c r="M119" s="20">
        <f>M$76</f>
        <v>2022</v>
      </c>
      <c r="N119" s="20">
        <f>N$76</f>
        <v>2023</v>
      </c>
      <c r="O119" s="20">
        <f>O$76</f>
        <v>2024</v>
      </c>
    </row>
    <row r="120" spans="1:15" ht="15" customHeight="1" x14ac:dyDescent="0.25">
      <c r="B120" s="37" t="str">
        <f>B89</f>
        <v>Net Income</v>
      </c>
      <c r="K120" s="50">
        <f ca="1">K89</f>
        <v>7.0374790617001981</v>
      </c>
      <c r="L120" s="50">
        <f ca="1">L89</f>
        <v>12.713950809257772</v>
      </c>
      <c r="M120" s="50">
        <f ca="1">M89</f>
        <v>18.845611279324366</v>
      </c>
      <c r="N120" s="50">
        <f ca="1">N89</f>
        <v>25.41984966627637</v>
      </c>
      <c r="O120" s="50">
        <f ca="1">O89</f>
        <v>32.389821602581641</v>
      </c>
    </row>
    <row r="121" spans="1:15" x14ac:dyDescent="0.25">
      <c r="B121" s="37" t="s">
        <v>81</v>
      </c>
      <c r="K121" s="124">
        <f>K116*K77</f>
        <v>23.381756599999999</v>
      </c>
      <c r="L121" s="124">
        <f>L116*L77</f>
        <v>24.42300891441867</v>
      </c>
      <c r="M121" s="124">
        <f>M116*M77</f>
        <v>25.689854773168467</v>
      </c>
      <c r="N121" s="124">
        <f>N116*N77</f>
        <v>27.186412126474774</v>
      </c>
      <c r="O121" s="124">
        <f>O116*O77</f>
        <v>28.912122613847693</v>
      </c>
    </row>
    <row r="122" spans="1:15" x14ac:dyDescent="0.25">
      <c r="B122" s="37" t="s">
        <v>82</v>
      </c>
      <c r="K122" s="124">
        <f>K175</f>
        <v>1.0666666666666667</v>
      </c>
      <c r="L122" s="124">
        <f t="shared" ref="L122:O122" si="31">L175</f>
        <v>1.0666666666666667</v>
      </c>
      <c r="M122" s="124">
        <f t="shared" si="31"/>
        <v>1.0666666666666667</v>
      </c>
      <c r="N122" s="124">
        <f t="shared" si="31"/>
        <v>1.0666666666666667</v>
      </c>
      <c r="O122" s="124">
        <f t="shared" si="31"/>
        <v>1.0666666666666667</v>
      </c>
    </row>
    <row r="123" spans="1:15" x14ac:dyDescent="0.25">
      <c r="B123" s="37" t="s">
        <v>141</v>
      </c>
      <c r="K123" s="124">
        <f>+J103-K103</f>
        <v>-6.0967931005635876</v>
      </c>
      <c r="L123" s="124">
        <f>+K103-L103</f>
        <v>-6.2390085656160181</v>
      </c>
      <c r="M123" s="124">
        <f>+L103-M103</f>
        <v>-6.4327213180379061</v>
      </c>
      <c r="N123" s="124">
        <f>+M103-N103</f>
        <v>-6.4703163944152493</v>
      </c>
      <c r="O123" s="124">
        <f>+N103-O103</f>
        <v>-6.4013578615760309</v>
      </c>
    </row>
    <row r="124" spans="1:15" x14ac:dyDescent="0.25">
      <c r="B124" s="37" t="s">
        <v>142</v>
      </c>
      <c r="K124" s="124">
        <f>+K108-J108</f>
        <v>6.26116238318086</v>
      </c>
      <c r="L124" s="124">
        <f t="shared" ref="L124:O124" si="32">+L108-K108</f>
        <v>6.4072119711208586</v>
      </c>
      <c r="M124" s="124">
        <f t="shared" si="32"/>
        <v>6.6061472111069861</v>
      </c>
      <c r="N124" s="124">
        <f t="shared" si="32"/>
        <v>6.6447558491440901</v>
      </c>
      <c r="O124" s="124">
        <f t="shared" si="32"/>
        <v>6.5739381971931863</v>
      </c>
    </row>
    <row r="125" spans="1:15" x14ac:dyDescent="0.25">
      <c r="B125" s="37"/>
    </row>
    <row r="126" spans="1:15" x14ac:dyDescent="0.25">
      <c r="B126" s="37" t="s">
        <v>65</v>
      </c>
      <c r="K126" s="50">
        <f>K115*K77*(-1)</f>
        <v>-34.543915000000005</v>
      </c>
      <c r="L126" s="50">
        <f>L115*L77*(-1)</f>
        <v>-37.320726193799999</v>
      </c>
      <c r="M126" s="50">
        <f>M115*M77*(-1)</f>
        <v>-40.18375360827828</v>
      </c>
      <c r="N126" s="50">
        <f>N115*N77*(-1)</f>
        <v>-43.063513557712803</v>
      </c>
      <c r="O126" s="50">
        <f>O115*O77*(-1)</f>
        <v>-45.912581959943601</v>
      </c>
    </row>
    <row r="127" spans="1:15" x14ac:dyDescent="0.25">
      <c r="B127" s="24" t="s">
        <v>66</v>
      </c>
      <c r="C127" s="24"/>
      <c r="D127" s="24"/>
      <c r="E127" s="24"/>
      <c r="F127" s="24"/>
      <c r="G127" s="26"/>
      <c r="H127" s="26"/>
      <c r="I127" s="26"/>
      <c r="J127" s="26"/>
      <c r="K127" s="26">
        <f>SUM(K126:K126)</f>
        <v>-34.543915000000005</v>
      </c>
      <c r="L127" s="26">
        <f>SUM(L126:L126)</f>
        <v>-37.320726193799999</v>
      </c>
      <c r="M127" s="26">
        <f>SUM(M126:M126)</f>
        <v>-40.18375360827828</v>
      </c>
      <c r="N127" s="26">
        <f>SUM(N126:N126)</f>
        <v>-43.063513557712803</v>
      </c>
      <c r="O127" s="26">
        <f>SUM(O126:O126)</f>
        <v>-45.912581959943601</v>
      </c>
    </row>
    <row r="128" spans="1:15" x14ac:dyDescent="0.25">
      <c r="B128" s="37"/>
    </row>
    <row r="129" spans="1:15" x14ac:dyDescent="0.25">
      <c r="B129" s="37" t="s">
        <v>33</v>
      </c>
      <c r="K129" s="50">
        <f ca="1">K146</f>
        <v>6.9436433890158673</v>
      </c>
      <c r="L129" s="50">
        <f t="shared" ref="L129:O129" ca="1" si="33">L146</f>
        <v>2.9988963979520475</v>
      </c>
      <c r="M129" s="50">
        <f t="shared" ca="1" si="33"/>
        <v>-1.541805003950306</v>
      </c>
      <c r="N129" s="50">
        <f t="shared" ca="1" si="33"/>
        <v>-6.7338543564338496</v>
      </c>
      <c r="O129" s="50">
        <f t="shared" ca="1" si="33"/>
        <v>-1.6668804265837585</v>
      </c>
    </row>
    <row r="130" spans="1:15" x14ac:dyDescent="0.25">
      <c r="B130" s="37" t="s">
        <v>67</v>
      </c>
      <c r="K130" s="51">
        <f>K153</f>
        <v>-4.05</v>
      </c>
      <c r="L130" s="51">
        <f t="shared" ref="L130:O131" ca="1" si="34">L153</f>
        <v>-4.05</v>
      </c>
      <c r="M130" s="51">
        <f t="shared" ca="1" si="34"/>
        <v>-4.05</v>
      </c>
      <c r="N130" s="51">
        <f t="shared" ca="1" si="34"/>
        <v>-4.05</v>
      </c>
      <c r="O130" s="51">
        <f t="shared" ca="1" si="34"/>
        <v>-4.05</v>
      </c>
    </row>
    <row r="131" spans="1:15" x14ac:dyDescent="0.25">
      <c r="B131" s="37" t="s">
        <v>68</v>
      </c>
      <c r="K131" s="51">
        <f ca="1">K154</f>
        <v>0</v>
      </c>
      <c r="L131" s="51">
        <f t="shared" ca="1" si="34"/>
        <v>0</v>
      </c>
      <c r="M131" s="51">
        <f t="shared" ca="1" si="34"/>
        <v>0</v>
      </c>
      <c r="N131" s="51">
        <f t="shared" ca="1" si="34"/>
        <v>0</v>
      </c>
      <c r="O131" s="51">
        <f t="shared" ca="1" si="34"/>
        <v>-8.1837966241393474</v>
      </c>
    </row>
    <row r="132" spans="1:15" x14ac:dyDescent="0.25">
      <c r="B132" s="24" t="s">
        <v>144</v>
      </c>
      <c r="C132" s="24"/>
      <c r="D132" s="24"/>
      <c r="E132" s="24"/>
      <c r="F132" s="24"/>
      <c r="G132" s="26"/>
      <c r="H132" s="26"/>
      <c r="I132" s="26"/>
      <c r="J132" s="26"/>
      <c r="K132" s="26">
        <f ca="1">SUM(K129:K131)</f>
        <v>2.8936433890158675</v>
      </c>
      <c r="L132" s="26">
        <f t="shared" ref="L132:O132" ca="1" si="35">SUM(L129:L131)</f>
        <v>-1.0511036020479523</v>
      </c>
      <c r="M132" s="26">
        <f t="shared" ca="1" si="35"/>
        <v>-5.5918050039503058</v>
      </c>
      <c r="N132" s="26">
        <f t="shared" ca="1" si="35"/>
        <v>-10.783854356433849</v>
      </c>
      <c r="O132" s="26">
        <f t="shared" ca="1" si="35"/>
        <v>-13.900677050723106</v>
      </c>
    </row>
    <row r="134" spans="1:15" x14ac:dyDescent="0.25">
      <c r="B134" s="37" t="s">
        <v>70</v>
      </c>
      <c r="K134" s="187">
        <f>+J69</f>
        <v>0</v>
      </c>
      <c r="L134" s="182">
        <f ca="1">+K136</f>
        <v>0</v>
      </c>
      <c r="M134" s="182">
        <f t="shared" ref="M134:O134" ca="1" si="36">+L136</f>
        <v>0</v>
      </c>
      <c r="N134" s="182">
        <f t="shared" ca="1" si="36"/>
        <v>0</v>
      </c>
      <c r="O134" s="182">
        <f t="shared" ca="1" si="36"/>
        <v>0</v>
      </c>
    </row>
    <row r="135" spans="1:15" x14ac:dyDescent="0.25">
      <c r="B135" s="37" t="s">
        <v>69</v>
      </c>
      <c r="K135" s="124">
        <f ca="1">+SUM(K120:K124,K127,K132)</f>
        <v>0</v>
      </c>
      <c r="L135" s="124">
        <f t="shared" ref="L135:O135" ca="1" si="37">+SUM(L120:L124,L127,L132)</f>
        <v>0</v>
      </c>
      <c r="M135" s="124">
        <f t="shared" ca="1" si="37"/>
        <v>0</v>
      </c>
      <c r="N135" s="124">
        <f t="shared" ca="1" si="37"/>
        <v>0</v>
      </c>
      <c r="O135" s="124">
        <f t="shared" ca="1" si="37"/>
        <v>2.7279322080464521</v>
      </c>
    </row>
    <row r="136" spans="1:15" x14ac:dyDescent="0.25">
      <c r="B136" s="21" t="s">
        <v>71</v>
      </c>
      <c r="C136" s="21"/>
      <c r="D136" s="21"/>
      <c r="E136" s="21"/>
      <c r="F136" s="21"/>
      <c r="G136" s="22"/>
      <c r="H136" s="22"/>
      <c r="I136" s="22"/>
      <c r="J136" s="22"/>
      <c r="K136" s="22">
        <f ca="1">K135+K134</f>
        <v>0</v>
      </c>
      <c r="L136" s="22">
        <f ca="1">L135+L134</f>
        <v>0</v>
      </c>
      <c r="M136" s="22">
        <f ca="1">M135+M134</f>
        <v>0</v>
      </c>
      <c r="N136" s="22">
        <f ca="1">N135+N134</f>
        <v>0</v>
      </c>
      <c r="O136" s="22">
        <f ca="1">O135+O134</f>
        <v>2.7279322080464521</v>
      </c>
    </row>
    <row r="137" spans="1:15" x14ac:dyDescent="0.25">
      <c r="B137" s="37"/>
    </row>
    <row r="138" spans="1:15" x14ac:dyDescent="0.25">
      <c r="B138" s="37"/>
    </row>
    <row r="139" spans="1:15" ht="15.6" x14ac:dyDescent="0.3">
      <c r="A139" s="9" t="s">
        <v>1</v>
      </c>
      <c r="B139" s="32" t="s">
        <v>23</v>
      </c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</row>
    <row r="140" spans="1:15" s="37" customFormat="1" x14ac:dyDescent="0.25">
      <c r="A140" s="34"/>
      <c r="B140" s="17" t="str">
        <f>B$76</f>
        <v>Year</v>
      </c>
      <c r="C140" s="18"/>
      <c r="D140" s="18"/>
      <c r="E140" s="18"/>
      <c r="F140" s="18"/>
      <c r="G140" s="40"/>
      <c r="H140" s="41"/>
      <c r="I140" s="41"/>
      <c r="J140" s="42">
        <f t="shared" ref="J140:O140" si="38">J$76</f>
        <v>2019</v>
      </c>
      <c r="K140" s="20">
        <f t="shared" si="38"/>
        <v>2020</v>
      </c>
      <c r="L140" s="20">
        <f t="shared" si="38"/>
        <v>2021</v>
      </c>
      <c r="M140" s="20">
        <f t="shared" si="38"/>
        <v>2022</v>
      </c>
      <c r="N140" s="20">
        <f t="shared" si="38"/>
        <v>2023</v>
      </c>
      <c r="O140" s="20">
        <f t="shared" si="38"/>
        <v>2024</v>
      </c>
    </row>
    <row r="141" spans="1:15" ht="15" customHeight="1" x14ac:dyDescent="0.25">
      <c r="B141" s="105" t="s">
        <v>97</v>
      </c>
    </row>
    <row r="142" spans="1:15" x14ac:dyDescent="0.25">
      <c r="B142" s="106" t="s">
        <v>98</v>
      </c>
      <c r="K142" s="50">
        <f>J147</f>
        <v>0</v>
      </c>
      <c r="L142" s="50">
        <f t="shared" ref="L142:O142" ca="1" si="39">K147</f>
        <v>6.9436433890158673</v>
      </c>
      <c r="M142" s="50">
        <f t="shared" ca="1" si="39"/>
        <v>9.9425397869679148</v>
      </c>
      <c r="N142" s="50">
        <f t="shared" ca="1" si="39"/>
        <v>8.400734783017608</v>
      </c>
      <c r="O142" s="50">
        <f t="shared" ca="1" si="39"/>
        <v>1.6668804265837585</v>
      </c>
    </row>
    <row r="143" spans="1:15" x14ac:dyDescent="0.25">
      <c r="B143" s="106" t="s">
        <v>104</v>
      </c>
      <c r="K143" s="51">
        <f>+K134</f>
        <v>0</v>
      </c>
      <c r="L143" s="51">
        <f t="shared" ref="L143:O143" ca="1" si="40">+L134</f>
        <v>0</v>
      </c>
      <c r="M143" s="51">
        <f t="shared" ca="1" si="40"/>
        <v>0</v>
      </c>
      <c r="N143" s="51">
        <f t="shared" ca="1" si="40"/>
        <v>0</v>
      </c>
      <c r="O143" s="51">
        <f t="shared" ca="1" si="40"/>
        <v>0</v>
      </c>
    </row>
    <row r="144" spans="1:15" x14ac:dyDescent="0.25">
      <c r="B144" s="106" t="s">
        <v>105</v>
      </c>
      <c r="K144" s="51">
        <f ca="1">SUM(K120:K124,K127,K130)</f>
        <v>-6.9436433890158673</v>
      </c>
      <c r="L144" s="51">
        <f t="shared" ref="L144:O144" ca="1" si="41">SUM(L120:L124,L127,L130)</f>
        <v>-2.9988963979520475</v>
      </c>
      <c r="M144" s="51">
        <f t="shared" ca="1" si="41"/>
        <v>1.541805003950306</v>
      </c>
      <c r="N144" s="51">
        <f t="shared" ca="1" si="41"/>
        <v>6.7338543564338496</v>
      </c>
      <c r="O144" s="51">
        <f t="shared" ca="1" si="41"/>
        <v>12.578609258769557</v>
      </c>
    </row>
    <row r="145" spans="2:15" x14ac:dyDescent="0.25">
      <c r="B145" s="106" t="s">
        <v>103</v>
      </c>
      <c r="K145" s="51">
        <f>$O$59*(-1)</f>
        <v>0</v>
      </c>
      <c r="L145" s="51">
        <f>$O$59*(-1)</f>
        <v>0</v>
      </c>
      <c r="M145" s="51">
        <f>$O$59*(-1)</f>
        <v>0</v>
      </c>
      <c r="N145" s="51">
        <f>$O$59*(-1)</f>
        <v>0</v>
      </c>
      <c r="O145" s="51">
        <f>$O$59*(-1)</f>
        <v>0</v>
      </c>
    </row>
    <row r="146" spans="2:15" x14ac:dyDescent="0.25">
      <c r="B146" s="106" t="s">
        <v>99</v>
      </c>
      <c r="K146" s="51">
        <f ca="1">MIN(SUM(K143:K145),K142)*(-1)</f>
        <v>6.9436433890158673</v>
      </c>
      <c r="L146" s="51">
        <f t="shared" ref="L146:O146" ca="1" si="42">MIN(SUM(L143:L145),L142)*(-1)</f>
        <v>2.9988963979520475</v>
      </c>
      <c r="M146" s="51">
        <f t="shared" ca="1" si="42"/>
        <v>-1.541805003950306</v>
      </c>
      <c r="N146" s="51">
        <f t="shared" ca="1" si="42"/>
        <v>-6.7338543564338496</v>
      </c>
      <c r="O146" s="51">
        <f t="shared" ca="1" si="42"/>
        <v>-1.6668804265837585</v>
      </c>
    </row>
    <row r="147" spans="2:15" x14ac:dyDescent="0.25">
      <c r="B147" s="107" t="s">
        <v>100</v>
      </c>
      <c r="C147" s="107"/>
      <c r="D147" s="107"/>
      <c r="E147" s="107"/>
      <c r="F147" s="107"/>
      <c r="G147" s="107"/>
      <c r="H147" s="107"/>
      <c r="I147" s="107"/>
      <c r="J147" s="107">
        <f>+E68</f>
        <v>0</v>
      </c>
      <c r="K147" s="109">
        <f ca="1">K142+K146</f>
        <v>6.9436433890158673</v>
      </c>
      <c r="L147" s="109">
        <f t="shared" ref="L147:O147" ca="1" si="43">L142+L146</f>
        <v>9.9425397869679148</v>
      </c>
      <c r="M147" s="109">
        <f t="shared" ca="1" si="43"/>
        <v>8.400734783017608</v>
      </c>
      <c r="N147" s="109">
        <f t="shared" ca="1" si="43"/>
        <v>1.6668804265837585</v>
      </c>
      <c r="O147" s="109">
        <f t="shared" ca="1" si="43"/>
        <v>0</v>
      </c>
    </row>
    <row r="148" spans="2:15" x14ac:dyDescent="0.25">
      <c r="B148" s="108" t="s">
        <v>101</v>
      </c>
      <c r="J148" s="51"/>
      <c r="K148" s="110">
        <f>MAX($O$57-K142,0)</f>
        <v>50</v>
      </c>
      <c r="L148" s="110">
        <f ca="1">MAX($O$57-L142,0)</f>
        <v>43.056356610984132</v>
      </c>
      <c r="M148" s="110">
        <f ca="1">MAX($O$57-M142,0)</f>
        <v>40.057460213032087</v>
      </c>
      <c r="N148" s="110">
        <f ca="1">MAX($O$57-N142,0)</f>
        <v>41.599265216982388</v>
      </c>
      <c r="O148" s="110">
        <f ca="1">MAX($O$57-O142,0)</f>
        <v>48.333119573416241</v>
      </c>
    </row>
    <row r="149" spans="2:15" x14ac:dyDescent="0.25">
      <c r="B149" s="108" t="s">
        <v>102</v>
      </c>
      <c r="K149" s="29">
        <f ca="1">MAX($O$57-K147,0)</f>
        <v>43.056356610984132</v>
      </c>
      <c r="L149" s="29">
        <f ca="1">MAX($O$57-L147,0)</f>
        <v>40.057460213032087</v>
      </c>
      <c r="M149" s="29">
        <f ca="1">MAX($O$57-M147,0)</f>
        <v>41.599265216982388</v>
      </c>
      <c r="N149" s="29">
        <f ca="1">MAX($O$57-N147,0)</f>
        <v>48.333119573416241</v>
      </c>
      <c r="O149" s="29">
        <f ca="1">MAX($O$57-O147,0)</f>
        <v>50</v>
      </c>
    </row>
    <row r="150" spans="2:15" x14ac:dyDescent="0.25">
      <c r="B150" s="106"/>
    </row>
    <row r="151" spans="2:15" x14ac:dyDescent="0.25">
      <c r="B151" s="80" t="str">
        <f>B59</f>
        <v>Unitranche Term Loan</v>
      </c>
    </row>
    <row r="152" spans="2:15" x14ac:dyDescent="0.25">
      <c r="B152" s="37" t="s">
        <v>83</v>
      </c>
      <c r="K152" s="50">
        <f>J155</f>
        <v>270</v>
      </c>
      <c r="L152" s="50">
        <f t="shared" ref="L152:O152" ca="1" si="44">K155</f>
        <v>265.95</v>
      </c>
      <c r="M152" s="50">
        <f t="shared" ca="1" si="44"/>
        <v>261.89999999999998</v>
      </c>
      <c r="N152" s="50">
        <f t="shared" ca="1" si="44"/>
        <v>257.84999999999997</v>
      </c>
      <c r="O152" s="50">
        <f t="shared" ca="1" si="44"/>
        <v>253.79999999999995</v>
      </c>
    </row>
    <row r="153" spans="2:15" x14ac:dyDescent="0.25">
      <c r="B153" s="37" t="s">
        <v>109</v>
      </c>
      <c r="K153" s="51">
        <f>-MIN(K152,$J$155*$G$59)</f>
        <v>-4.05</v>
      </c>
      <c r="L153" s="51">
        <f ca="1">-MIN(L152,$J$155*$G$59)</f>
        <v>-4.05</v>
      </c>
      <c r="M153" s="51">
        <f ca="1">-MIN(M152,$J$155*$G$59)</f>
        <v>-4.05</v>
      </c>
      <c r="N153" s="51">
        <f ca="1">-MIN(N152,$J$155*$G$59)</f>
        <v>-4.05</v>
      </c>
      <c r="O153" s="51">
        <f ca="1">-MIN(O152,$J$155*$G$59)</f>
        <v>-4.05</v>
      </c>
    </row>
    <row r="154" spans="2:15" x14ac:dyDescent="0.25">
      <c r="B154" s="37" t="s">
        <v>110</v>
      </c>
      <c r="K154" s="51">
        <f ca="1">-MIN(SUM(K152:K153),SUM(K143:K146)*$H$59)</f>
        <v>0</v>
      </c>
      <c r="L154" s="51">
        <f ca="1">-MIN(SUM(L152:L153),SUM(L143:L146)*$H$59)</f>
        <v>0</v>
      </c>
      <c r="M154" s="51">
        <f ca="1">-MIN(SUM(M152:M153),SUM(M143:M146)*$H$59)</f>
        <v>0</v>
      </c>
      <c r="N154" s="51">
        <f ca="1">-MIN(SUM(N152:N153),SUM(N143:N146)*$H$59)</f>
        <v>0</v>
      </c>
      <c r="O154" s="51">
        <f ca="1">-MIN(SUM(O152:O153),SUM(O143:O146)*$H$59)</f>
        <v>-8.1837966241393474</v>
      </c>
    </row>
    <row r="155" spans="2:15" x14ac:dyDescent="0.25">
      <c r="B155" s="107" t="s">
        <v>108</v>
      </c>
      <c r="C155" s="107"/>
      <c r="D155" s="107"/>
      <c r="E155" s="107"/>
      <c r="F155" s="107"/>
      <c r="G155" s="107"/>
      <c r="H155" s="107"/>
      <c r="I155" s="107"/>
      <c r="J155" s="109">
        <f>+E69</f>
        <v>270</v>
      </c>
      <c r="K155" s="109">
        <f ca="1">SUM(K152:K154)</f>
        <v>265.95</v>
      </c>
      <c r="L155" s="109">
        <f t="shared" ref="L155:O155" ca="1" si="45">SUM(L152:L154)</f>
        <v>261.89999999999998</v>
      </c>
      <c r="M155" s="109">
        <f t="shared" ca="1" si="45"/>
        <v>257.84999999999997</v>
      </c>
      <c r="N155" s="109">
        <f t="shared" ca="1" si="45"/>
        <v>253.79999999999995</v>
      </c>
      <c r="O155" s="109">
        <f t="shared" ca="1" si="45"/>
        <v>241.5662033758606</v>
      </c>
    </row>
    <row r="156" spans="2:15" x14ac:dyDescent="0.25">
      <c r="B156" s="37"/>
    </row>
    <row r="157" spans="2:15" x14ac:dyDescent="0.25">
      <c r="B157" s="80" t="s">
        <v>107</v>
      </c>
    </row>
    <row r="158" spans="2:15" x14ac:dyDescent="0.25">
      <c r="B158" s="37" t="str">
        <f>B58</f>
        <v>Revolver</v>
      </c>
      <c r="J158" s="50">
        <f>J147</f>
        <v>0</v>
      </c>
      <c r="K158" s="50">
        <f ca="1">K147</f>
        <v>6.9436433890158673</v>
      </c>
      <c r="L158" s="50">
        <f ca="1">L147</f>
        <v>9.9425397869679148</v>
      </c>
      <c r="M158" s="50">
        <f ca="1">M147</f>
        <v>8.400734783017608</v>
      </c>
      <c r="N158" s="50">
        <f t="shared" ref="N158" ca="1" si="46">N147</f>
        <v>1.6668804265837585</v>
      </c>
      <c r="O158" s="50">
        <f ca="1">O147</f>
        <v>0</v>
      </c>
    </row>
    <row r="159" spans="2:15" x14ac:dyDescent="0.25">
      <c r="B159" s="37" t="str">
        <f>B59</f>
        <v>Unitranche Term Loan</v>
      </c>
      <c r="J159" s="51">
        <f>J155</f>
        <v>270</v>
      </c>
      <c r="K159" s="51">
        <f t="shared" ref="K159:O159" ca="1" si="47">K155</f>
        <v>265.95</v>
      </c>
      <c r="L159" s="51">
        <f t="shared" ca="1" si="47"/>
        <v>261.89999999999998</v>
      </c>
      <c r="M159" s="51">
        <f t="shared" ca="1" si="47"/>
        <v>257.84999999999997</v>
      </c>
      <c r="N159" s="51">
        <f t="shared" ca="1" si="47"/>
        <v>253.79999999999995</v>
      </c>
      <c r="O159" s="51">
        <f t="shared" ca="1" si="47"/>
        <v>241.5662033758606</v>
      </c>
    </row>
    <row r="160" spans="2:15" x14ac:dyDescent="0.25">
      <c r="B160" s="107" t="s">
        <v>39</v>
      </c>
      <c r="C160" s="107"/>
      <c r="D160" s="107"/>
      <c r="E160" s="107"/>
      <c r="F160" s="107"/>
      <c r="G160" s="107"/>
      <c r="H160" s="107"/>
      <c r="I160" s="107"/>
      <c r="J160" s="109">
        <f>SUM(J158:J159)</f>
        <v>270</v>
      </c>
      <c r="K160" s="109">
        <f t="shared" ref="K160:O160" ca="1" si="48">SUM(K158:K159)</f>
        <v>272.89364338901584</v>
      </c>
      <c r="L160" s="109">
        <f t="shared" ca="1" si="48"/>
        <v>271.8425397869679</v>
      </c>
      <c r="M160" s="109">
        <f t="shared" ca="1" si="48"/>
        <v>266.25073478301755</v>
      </c>
      <c r="N160" s="109">
        <f t="shared" ca="1" si="48"/>
        <v>255.46688042658371</v>
      </c>
      <c r="O160" s="109">
        <f t="shared" ca="1" si="48"/>
        <v>241.5662033758606</v>
      </c>
    </row>
    <row r="161" spans="1:15" x14ac:dyDescent="0.25">
      <c r="B161" s="37"/>
    </row>
    <row r="162" spans="1:15" x14ac:dyDescent="0.25">
      <c r="B162" s="37"/>
    </row>
    <row r="163" spans="1:15" ht="15.6" x14ac:dyDescent="0.3">
      <c r="A163" s="9" t="s">
        <v>1</v>
      </c>
      <c r="B163" s="32" t="s">
        <v>24</v>
      </c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</row>
    <row r="164" spans="1:15" s="37" customFormat="1" x14ac:dyDescent="0.25">
      <c r="A164" s="34"/>
      <c r="B164" s="17" t="str">
        <f>B$76</f>
        <v>Year</v>
      </c>
      <c r="C164" s="18"/>
      <c r="D164" s="18"/>
      <c r="E164" s="18"/>
      <c r="F164" s="18"/>
      <c r="G164" s="40"/>
      <c r="H164" s="41"/>
      <c r="I164" s="41"/>
      <c r="J164" s="42">
        <f t="shared" ref="J164:O164" si="49">J$76</f>
        <v>2019</v>
      </c>
      <c r="K164" s="20">
        <f t="shared" si="49"/>
        <v>2020</v>
      </c>
      <c r="L164" s="20">
        <f t="shared" si="49"/>
        <v>2021</v>
      </c>
      <c r="M164" s="20">
        <f t="shared" si="49"/>
        <v>2022</v>
      </c>
      <c r="N164" s="20">
        <f t="shared" si="49"/>
        <v>2023</v>
      </c>
      <c r="O164" s="20">
        <f t="shared" si="49"/>
        <v>2024</v>
      </c>
    </row>
    <row r="165" spans="1:15" ht="15" customHeight="1" x14ac:dyDescent="0.25">
      <c r="B165" s="37" t="s">
        <v>94</v>
      </c>
      <c r="F165" s="82" t="s">
        <v>75</v>
      </c>
      <c r="G165" s="101">
        <v>25</v>
      </c>
      <c r="K165" s="100">
        <v>150</v>
      </c>
      <c r="L165" s="102">
        <f>K165+$G165</f>
        <v>175</v>
      </c>
      <c r="M165" s="102">
        <f t="shared" ref="M165:O165" si="50">L165+$G165</f>
        <v>200</v>
      </c>
      <c r="N165" s="102">
        <f t="shared" si="50"/>
        <v>225</v>
      </c>
      <c r="O165" s="102">
        <f t="shared" si="50"/>
        <v>250</v>
      </c>
    </row>
    <row r="166" spans="1:15" x14ac:dyDescent="0.25">
      <c r="B166" s="37"/>
    </row>
    <row r="167" spans="1:15" x14ac:dyDescent="0.25">
      <c r="B167" s="81" t="s">
        <v>95</v>
      </c>
      <c r="F167" s="63" t="str">
        <f t="shared" ref="F167:G169" si="51">E57</f>
        <v>Int. Rate</v>
      </c>
      <c r="G167" s="63" t="str">
        <f t="shared" si="51"/>
        <v>Floor</v>
      </c>
    </row>
    <row r="168" spans="1:15" x14ac:dyDescent="0.25">
      <c r="B168" s="37" t="str">
        <f>B68</f>
        <v>Revolver</v>
      </c>
      <c r="F168" s="103">
        <f t="shared" si="51"/>
        <v>450</v>
      </c>
      <c r="G168" s="104">
        <f t="shared" si="51"/>
        <v>1.4999999999999999E-2</v>
      </c>
      <c r="J168" s="104">
        <f>K168</f>
        <v>0.06</v>
      </c>
      <c r="K168" s="104">
        <f>MAX(K$165/10000,$G168)+$F168/10000</f>
        <v>0.06</v>
      </c>
      <c r="L168" s="104">
        <f t="shared" ref="L168:O169" si="52">MAX(L$165/10000,$G168)+$F168/10000</f>
        <v>6.25E-2</v>
      </c>
      <c r="M168" s="104">
        <f t="shared" si="52"/>
        <v>6.5000000000000002E-2</v>
      </c>
      <c r="N168" s="104">
        <f t="shared" si="52"/>
        <v>6.7500000000000004E-2</v>
      </c>
      <c r="O168" s="104">
        <f t="shared" si="52"/>
        <v>7.0000000000000007E-2</v>
      </c>
    </row>
    <row r="169" spans="1:15" x14ac:dyDescent="0.25">
      <c r="B169" s="37" t="str">
        <f>B69</f>
        <v>Unitranche Term Loan</v>
      </c>
      <c r="F169" s="103">
        <f t="shared" si="51"/>
        <v>650</v>
      </c>
      <c r="G169" s="104">
        <f t="shared" si="51"/>
        <v>1.4999999999999999E-2</v>
      </c>
      <c r="J169" s="104">
        <f>K169</f>
        <v>0.08</v>
      </c>
      <c r="K169" s="104">
        <f>MAX(K$165/10000,$G169)+$F169/10000</f>
        <v>0.08</v>
      </c>
      <c r="L169" s="104">
        <f t="shared" si="52"/>
        <v>8.2500000000000004E-2</v>
      </c>
      <c r="M169" s="104">
        <f t="shared" si="52"/>
        <v>8.5000000000000006E-2</v>
      </c>
      <c r="N169" s="104">
        <f t="shared" si="52"/>
        <v>8.7499999999999994E-2</v>
      </c>
      <c r="O169" s="104">
        <f t="shared" si="52"/>
        <v>0.09</v>
      </c>
    </row>
    <row r="170" spans="1:15" x14ac:dyDescent="0.25">
      <c r="B170" s="37"/>
    </row>
    <row r="171" spans="1:15" x14ac:dyDescent="0.25">
      <c r="B171" s="81" t="s">
        <v>9</v>
      </c>
    </row>
    <row r="172" spans="1:15" x14ac:dyDescent="0.25">
      <c r="B172" s="37" t="str">
        <f>B168</f>
        <v>Revolver</v>
      </c>
      <c r="J172" s="149">
        <f>J58*J168</f>
        <v>0</v>
      </c>
      <c r="K172" s="50">
        <f t="shared" ref="K172:O173" ca="1" si="53">IF($O$60=1,AVERAGE(J158:K158),J158)*K168</f>
        <v>0.20830930167047601</v>
      </c>
      <c r="L172" s="50">
        <f t="shared" ca="1" si="53"/>
        <v>0.52769322424949316</v>
      </c>
      <c r="M172" s="50">
        <f t="shared" ca="1" si="53"/>
        <v>0.59615642352452958</v>
      </c>
      <c r="N172" s="50">
        <f t="shared" ca="1" si="53"/>
        <v>0.33978201332404617</v>
      </c>
      <c r="O172" s="50">
        <f t="shared" ca="1" si="53"/>
        <v>5.8340814930431549E-2</v>
      </c>
    </row>
    <row r="173" spans="1:15" x14ac:dyDescent="0.25">
      <c r="B173" s="37" t="str">
        <f>B169</f>
        <v>Unitranche Term Loan</v>
      </c>
      <c r="J173" s="150">
        <f>J59*J169</f>
        <v>21.6</v>
      </c>
      <c r="K173" s="51">
        <f t="shared" ca="1" si="53"/>
        <v>21.438000000000002</v>
      </c>
      <c r="L173" s="51">
        <f t="shared" ca="1" si="53"/>
        <v>21.773812499999998</v>
      </c>
      <c r="M173" s="51">
        <f t="shared" ca="1" si="53"/>
        <v>22.089375</v>
      </c>
      <c r="N173" s="51">
        <f t="shared" ca="1" si="53"/>
        <v>22.384687499999995</v>
      </c>
      <c r="O173" s="51">
        <f t="shared" ca="1" si="53"/>
        <v>22.291479151913723</v>
      </c>
    </row>
    <row r="174" spans="1:15" x14ac:dyDescent="0.25">
      <c r="B174" s="37" t="s">
        <v>42</v>
      </c>
      <c r="J174" s="150">
        <f>(O57-J58)*O58</f>
        <v>0.25</v>
      </c>
      <c r="K174" s="51">
        <f ca="1">IF($O$60=1,AVERAGE(K148:K149),K148)*$O$58</f>
        <v>0.23264089152746031</v>
      </c>
      <c r="L174" s="51">
        <f ca="1">IF($O$60=1,AVERAGE(L148:L149),L148)*$O$58</f>
        <v>0.20778454206004057</v>
      </c>
      <c r="M174" s="51">
        <f ca="1">IF($O$60=1,AVERAGE(M148:M149),M148)*$O$58</f>
        <v>0.20414181357503619</v>
      </c>
      <c r="N174" s="51">
        <f ca="1">IF($O$60=1,AVERAGE(N148:N149),N148)*$O$58</f>
        <v>0.22483096197599658</v>
      </c>
      <c r="O174" s="51">
        <f ca="1">IF($O$60=1,AVERAGE(O148:O149),O148)*$O$58</f>
        <v>0.2458327989335406</v>
      </c>
    </row>
    <row r="175" spans="1:15" x14ac:dyDescent="0.25">
      <c r="B175" s="37" t="s">
        <v>82</v>
      </c>
      <c r="J175" s="150">
        <f>$J$71/$O$61</f>
        <v>1.0666666666666667</v>
      </c>
      <c r="K175" s="124">
        <f>IF(K164-$J$164&lt;=$O$61,$J$71/$O$61,0)</f>
        <v>1.0666666666666667</v>
      </c>
      <c r="L175" s="124">
        <f>IF(L164-$J$164&lt;=$O$61,$J$71/$O$61,0)</f>
        <v>1.0666666666666667</v>
      </c>
      <c r="M175" s="124">
        <f>IF(M164-$J$164&lt;=$O$61,$J$71/$O$61,0)</f>
        <v>1.0666666666666667</v>
      </c>
      <c r="N175" s="124">
        <f>IF(N164-$J$164&lt;=$O$61,$J$71/$O$61,0)</f>
        <v>1.0666666666666667</v>
      </c>
      <c r="O175" s="124">
        <f>IF(O164-$J$164&lt;=$O$61,$J$71/$O$61,0)</f>
        <v>1.0666666666666667</v>
      </c>
    </row>
    <row r="176" spans="1:15" x14ac:dyDescent="0.25">
      <c r="B176" s="24" t="s">
        <v>113</v>
      </c>
      <c r="C176" s="24"/>
      <c r="D176" s="24"/>
      <c r="E176" s="24"/>
      <c r="F176" s="24"/>
      <c r="G176" s="26"/>
      <c r="H176" s="26"/>
      <c r="I176" s="26"/>
      <c r="J176" s="142">
        <f>SUM(J172:J175)</f>
        <v>22.916666666666668</v>
      </c>
      <c r="K176" s="26">
        <f ca="1">SUM(K172:K175)</f>
        <v>22.945616859864604</v>
      </c>
      <c r="L176" s="26">
        <f t="shared" ref="L176:O176" ca="1" si="54">SUM(L172:L175)</f>
        <v>23.575956932976197</v>
      </c>
      <c r="M176" s="26">
        <f t="shared" ca="1" si="54"/>
        <v>23.956339903766231</v>
      </c>
      <c r="N176" s="26">
        <f t="shared" ca="1" si="54"/>
        <v>24.015967141966705</v>
      </c>
      <c r="O176" s="26">
        <f t="shared" ca="1" si="54"/>
        <v>23.662319432444363</v>
      </c>
    </row>
    <row r="177" spans="1:15" x14ac:dyDescent="0.25">
      <c r="B177" s="111" t="s">
        <v>124</v>
      </c>
      <c r="C177" s="111"/>
      <c r="D177" s="111"/>
      <c r="E177" s="111"/>
      <c r="F177" s="111"/>
      <c r="G177" s="112"/>
      <c r="H177" s="112"/>
      <c r="I177" s="112"/>
      <c r="J177" s="151">
        <f>+$O$62*-K134</f>
        <v>0</v>
      </c>
      <c r="K177" s="113">
        <f ca="1">-(IF($O$60=1,AVERAGE(K134,K136),K134)*$O$62)</f>
        <v>0</v>
      </c>
      <c r="L177" s="113">
        <f t="shared" ref="L177:O177" ca="1" si="55">-(IF($O$60=1,AVERAGE(L134,L136),L134)*$O$62)</f>
        <v>0</v>
      </c>
      <c r="M177" s="113">
        <f t="shared" ca="1" si="55"/>
        <v>0</v>
      </c>
      <c r="N177" s="113">
        <f t="shared" ca="1" si="55"/>
        <v>0</v>
      </c>
      <c r="O177" s="113">
        <f t="shared" ca="1" si="55"/>
        <v>-1.3639661040232261E-2</v>
      </c>
    </row>
    <row r="178" spans="1:15" x14ac:dyDescent="0.25">
      <c r="B178" s="59" t="s">
        <v>112</v>
      </c>
      <c r="C178" s="59"/>
      <c r="D178" s="59"/>
      <c r="E178" s="59"/>
      <c r="F178" s="59"/>
      <c r="G178" s="89"/>
      <c r="H178" s="89"/>
      <c r="I178" s="89"/>
      <c r="J178" s="143">
        <f>SUM(J176:J177)</f>
        <v>22.916666666666668</v>
      </c>
      <c r="K178" s="89">
        <f ca="1">SUM(K176:K177)</f>
        <v>22.945616859864604</v>
      </c>
      <c r="L178" s="89">
        <f t="shared" ref="L178:O178" ca="1" si="56">SUM(L176:L177)</f>
        <v>23.575956932976197</v>
      </c>
      <c r="M178" s="89">
        <f t="shared" ca="1" si="56"/>
        <v>23.956339903766231</v>
      </c>
      <c r="N178" s="89">
        <f t="shared" ca="1" si="56"/>
        <v>24.015967141966705</v>
      </c>
      <c r="O178" s="89">
        <f t="shared" ca="1" si="56"/>
        <v>23.648679771404129</v>
      </c>
    </row>
    <row r="179" spans="1:15" x14ac:dyDescent="0.25">
      <c r="B179" s="114" t="s">
        <v>96</v>
      </c>
      <c r="C179" s="115"/>
      <c r="D179" s="115"/>
      <c r="E179" s="115"/>
      <c r="F179" s="115"/>
      <c r="G179" s="115"/>
      <c r="H179" s="115"/>
      <c r="I179" s="115"/>
      <c r="J179" s="152">
        <f t="shared" ref="J179:O179" si="57">J176-J175</f>
        <v>21.85</v>
      </c>
      <c r="K179" s="110">
        <f t="shared" ca="1" si="57"/>
        <v>21.878950193197937</v>
      </c>
      <c r="L179" s="110">
        <f t="shared" ca="1" si="57"/>
        <v>22.509290266309531</v>
      </c>
      <c r="M179" s="110">
        <f t="shared" ca="1" si="57"/>
        <v>22.889673237099565</v>
      </c>
      <c r="N179" s="110">
        <f t="shared" ca="1" si="57"/>
        <v>22.949300475300038</v>
      </c>
      <c r="O179" s="110">
        <f t="shared" ca="1" si="57"/>
        <v>22.595652765777697</v>
      </c>
    </row>
    <row r="180" spans="1:15" x14ac:dyDescent="0.25">
      <c r="B180" s="37"/>
    </row>
    <row r="181" spans="1:15" x14ac:dyDescent="0.25">
      <c r="B181" s="37"/>
    </row>
    <row r="182" spans="1:15" ht="15.6" x14ac:dyDescent="0.3">
      <c r="A182" s="9" t="s">
        <v>1</v>
      </c>
      <c r="B182" s="32" t="s">
        <v>27</v>
      </c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</row>
    <row r="183" spans="1:15" s="37" customFormat="1" x14ac:dyDescent="0.25">
      <c r="A183" s="34"/>
      <c r="B183" s="17" t="str">
        <f>B$76</f>
        <v>Year</v>
      </c>
      <c r="C183" s="18"/>
      <c r="D183" s="18"/>
      <c r="E183" s="18"/>
      <c r="F183" s="18"/>
      <c r="G183" s="40"/>
      <c r="H183" s="41"/>
      <c r="I183" s="41"/>
      <c r="J183" s="42">
        <f t="shared" ref="J183:O183" si="58">J$76</f>
        <v>2019</v>
      </c>
      <c r="K183" s="20">
        <f t="shared" si="58"/>
        <v>2020</v>
      </c>
      <c r="L183" s="20">
        <f t="shared" si="58"/>
        <v>2021</v>
      </c>
      <c r="M183" s="20">
        <f t="shared" si="58"/>
        <v>2022</v>
      </c>
      <c r="N183" s="20">
        <f t="shared" si="58"/>
        <v>2023</v>
      </c>
      <c r="O183" s="20">
        <f t="shared" si="58"/>
        <v>2024</v>
      </c>
    </row>
    <row r="184" spans="1:15" ht="15" customHeight="1" x14ac:dyDescent="0.25">
      <c r="B184" s="37" t="s">
        <v>5</v>
      </c>
      <c r="K184" s="50">
        <f>K$81</f>
        <v>60.83748030000001</v>
      </c>
      <c r="L184" s="50">
        <f t="shared" ref="L184:O184" si="59">L$81</f>
        <v>70.179980454499969</v>
      </c>
      <c r="M184" s="50">
        <f t="shared" si="59"/>
        <v>80.113236946291948</v>
      </c>
      <c r="N184" s="50">
        <f t="shared" si="59"/>
        <v>90.553527466112257</v>
      </c>
      <c r="O184" s="50">
        <f t="shared" si="59"/>
        <v>101.40087534518918</v>
      </c>
    </row>
    <row r="185" spans="1:15" x14ac:dyDescent="0.25">
      <c r="B185" s="37" t="s">
        <v>84</v>
      </c>
      <c r="K185" s="72">
        <f>$J$39</f>
        <v>10</v>
      </c>
      <c r="L185" s="72">
        <f>$J$39</f>
        <v>10</v>
      </c>
      <c r="M185" s="72">
        <f>$J$39</f>
        <v>10</v>
      </c>
      <c r="N185" s="72">
        <f>$J$39</f>
        <v>10</v>
      </c>
      <c r="O185" s="72">
        <f>$J$39</f>
        <v>10</v>
      </c>
    </row>
    <row r="186" spans="1:15" x14ac:dyDescent="0.25">
      <c r="B186" s="24" t="s">
        <v>85</v>
      </c>
      <c r="C186" s="24"/>
      <c r="D186" s="24"/>
      <c r="E186" s="24"/>
      <c r="F186" s="24"/>
      <c r="G186" s="26"/>
      <c r="H186" s="26"/>
      <c r="I186" s="26"/>
      <c r="J186" s="26"/>
      <c r="K186" s="26">
        <f>K184*K185</f>
        <v>608.37480300000016</v>
      </c>
      <c r="L186" s="26">
        <f t="shared" ref="L186:O186" si="60">L184*L185</f>
        <v>701.79980454499969</v>
      </c>
      <c r="M186" s="26">
        <f t="shared" si="60"/>
        <v>801.13236946291954</v>
      </c>
      <c r="N186" s="26">
        <f t="shared" si="60"/>
        <v>905.53527466112257</v>
      </c>
      <c r="O186" s="26">
        <f t="shared" si="60"/>
        <v>1014.0087534518918</v>
      </c>
    </row>
    <row r="187" spans="1:15" x14ac:dyDescent="0.25">
      <c r="B187" s="37" t="s">
        <v>50</v>
      </c>
      <c r="K187" s="51">
        <f ca="1">-K160</f>
        <v>-272.89364338901584</v>
      </c>
      <c r="L187" s="51">
        <f t="shared" ref="L187:O187" ca="1" si="61">-L160</f>
        <v>-271.8425397869679</v>
      </c>
      <c r="M187" s="51">
        <f t="shared" ca="1" si="61"/>
        <v>-266.25073478301755</v>
      </c>
      <c r="N187" s="51">
        <f t="shared" ca="1" si="61"/>
        <v>-255.46688042658371</v>
      </c>
      <c r="O187" s="51">
        <f t="shared" ca="1" si="61"/>
        <v>-241.5662033758606</v>
      </c>
    </row>
    <row r="188" spans="1:15" x14ac:dyDescent="0.25">
      <c r="B188" s="37" t="s">
        <v>51</v>
      </c>
      <c r="K188" s="51">
        <f ca="1">+K136</f>
        <v>0</v>
      </c>
      <c r="L188" s="51">
        <f t="shared" ref="L188:O188" ca="1" si="62">+L136</f>
        <v>0</v>
      </c>
      <c r="M188" s="51">
        <f t="shared" ca="1" si="62"/>
        <v>0</v>
      </c>
      <c r="N188" s="51">
        <f t="shared" ca="1" si="62"/>
        <v>0</v>
      </c>
      <c r="O188" s="51">
        <f t="shared" ca="1" si="62"/>
        <v>2.7279322080464521</v>
      </c>
    </row>
    <row r="189" spans="1:15" x14ac:dyDescent="0.25">
      <c r="B189" s="24" t="s">
        <v>86</v>
      </c>
      <c r="C189" s="24"/>
      <c r="D189" s="24"/>
      <c r="E189" s="24"/>
      <c r="F189" s="24"/>
      <c r="G189" s="26"/>
      <c r="H189" s="26"/>
      <c r="I189" s="26"/>
      <c r="J189" s="26"/>
      <c r="K189" s="26">
        <f ca="1">SUM(K186:K188)</f>
        <v>335.48115961098432</v>
      </c>
      <c r="L189" s="26">
        <f t="shared" ref="L189:O189" ca="1" si="63">SUM(L186:L188)</f>
        <v>429.95726475803178</v>
      </c>
      <c r="M189" s="26">
        <f t="shared" ca="1" si="63"/>
        <v>534.88163467990194</v>
      </c>
      <c r="N189" s="26">
        <f t="shared" ca="1" si="63"/>
        <v>650.0683942345388</v>
      </c>
      <c r="O189" s="26">
        <f t="shared" ca="1" si="63"/>
        <v>775.17048228407771</v>
      </c>
    </row>
    <row r="190" spans="1:15" x14ac:dyDescent="0.25">
      <c r="B190" s="37" t="s">
        <v>136</v>
      </c>
      <c r="K190" s="51">
        <f ca="1">MAX(K189-SUM($E$70:$E$71),0)*$J$41*(-1)</f>
        <v>-5.8410039610984033</v>
      </c>
      <c r="L190" s="51">
        <f t="shared" ref="L190:O190" ca="1" si="64">MAX(L189-SUM($E$70:$E$71),0)*$J$41*(-1)</f>
        <v>-15.288614475803151</v>
      </c>
      <c r="M190" s="51">
        <f t="shared" ca="1" si="64"/>
        <v>-25.781051467990167</v>
      </c>
      <c r="N190" s="51">
        <f t="shared" ca="1" si="64"/>
        <v>-37.299727423453852</v>
      </c>
      <c r="O190" s="51">
        <f t="shared" ca="1" si="64"/>
        <v>-49.809936228407743</v>
      </c>
    </row>
    <row r="191" spans="1:15" x14ac:dyDescent="0.25">
      <c r="B191" s="59" t="s">
        <v>137</v>
      </c>
      <c r="C191" s="59"/>
      <c r="D191" s="59"/>
      <c r="E191" s="59"/>
      <c r="F191" s="59"/>
      <c r="G191" s="89"/>
      <c r="H191" s="89"/>
      <c r="I191" s="89"/>
      <c r="J191" s="89"/>
      <c r="K191" s="89">
        <f ca="1">SUM(K189:K190)</f>
        <v>329.64015564988591</v>
      </c>
      <c r="L191" s="89">
        <f t="shared" ref="L191:O191" ca="1" si="65">SUM(L189:L190)</f>
        <v>414.66865028222861</v>
      </c>
      <c r="M191" s="89">
        <f t="shared" ca="1" si="65"/>
        <v>509.10058321191178</v>
      </c>
      <c r="N191" s="89">
        <f t="shared" ca="1" si="65"/>
        <v>612.76866681108493</v>
      </c>
      <c r="O191" s="89">
        <f t="shared" ca="1" si="65"/>
        <v>725.36054605566994</v>
      </c>
    </row>
    <row r="192" spans="1:15" x14ac:dyDescent="0.25">
      <c r="B192" s="37"/>
    </row>
    <row r="193" spans="1:15" x14ac:dyDescent="0.25">
      <c r="B193" s="81" t="s">
        <v>87</v>
      </c>
      <c r="E193" s="85" t="s">
        <v>89</v>
      </c>
      <c r="F193" s="86" t="s">
        <v>90</v>
      </c>
      <c r="J193" s="63" t="s">
        <v>88</v>
      </c>
    </row>
    <row r="194" spans="1:15" x14ac:dyDescent="0.25">
      <c r="B194" s="84">
        <v>2021</v>
      </c>
      <c r="E194" s="87">
        <f ca="1">IFERROR(SUM(K194:O194)/J194,0)*(-1)</f>
        <v>1.4966144803624</v>
      </c>
      <c r="F194" s="146">
        <f ca="1">IFERROR(IRR(J194:O194,0.1),0)</f>
        <v>0.22336195803302639</v>
      </c>
      <c r="J194" s="50">
        <f>-SUM(E70:E71)</f>
        <v>-277.07112000000029</v>
      </c>
      <c r="K194" s="50">
        <f t="shared" ref="K194:O196" si="66">IF(K$183=$B194,K$191,0)</f>
        <v>0</v>
      </c>
      <c r="L194" s="50">
        <f t="shared" ca="1" si="66"/>
        <v>414.66865028222861</v>
      </c>
      <c r="M194" s="50">
        <f t="shared" si="66"/>
        <v>0</v>
      </c>
      <c r="N194" s="50">
        <f t="shared" si="66"/>
        <v>0</v>
      </c>
      <c r="O194" s="50">
        <f t="shared" si="66"/>
        <v>0</v>
      </c>
    </row>
    <row r="195" spans="1:15" x14ac:dyDescent="0.25">
      <c r="B195" s="83">
        <f>B194+1</f>
        <v>2022</v>
      </c>
      <c r="E195" s="87">
        <f t="shared" ref="E195:E196" ca="1" si="67">IFERROR(SUM(K195:O195)/J195,0)*(-1)</f>
        <v>1.8374364791679163</v>
      </c>
      <c r="F195" s="146">
        <f t="shared" ref="F195:F196" ca="1" si="68">IFERROR(IRR(J195:O195,0.1),0)</f>
        <v>0.22481579441321831</v>
      </c>
      <c r="J195" s="51">
        <f>J194</f>
        <v>-277.07112000000029</v>
      </c>
      <c r="K195" s="51">
        <f t="shared" si="66"/>
        <v>0</v>
      </c>
      <c r="L195" s="51">
        <f t="shared" si="66"/>
        <v>0</v>
      </c>
      <c r="M195" s="51">
        <f t="shared" ca="1" si="66"/>
        <v>509.10058321191178</v>
      </c>
      <c r="N195" s="51">
        <f t="shared" si="66"/>
        <v>0</v>
      </c>
      <c r="O195" s="51">
        <f t="shared" si="66"/>
        <v>0</v>
      </c>
    </row>
    <row r="196" spans="1:15" x14ac:dyDescent="0.25">
      <c r="B196" s="83">
        <f>B195+1</f>
        <v>2023</v>
      </c>
      <c r="E196" s="88">
        <f t="shared" ca="1" si="67"/>
        <v>2.2115934234180896</v>
      </c>
      <c r="F196" s="147">
        <f t="shared" ca="1" si="68"/>
        <v>0.21948460607605269</v>
      </c>
      <c r="J196" s="51">
        <f>J195</f>
        <v>-277.07112000000029</v>
      </c>
      <c r="K196" s="51">
        <f t="shared" si="66"/>
        <v>0</v>
      </c>
      <c r="L196" s="51">
        <f t="shared" si="66"/>
        <v>0</v>
      </c>
      <c r="M196" s="51">
        <f t="shared" si="66"/>
        <v>0</v>
      </c>
      <c r="N196" s="51">
        <f t="shared" ca="1" si="66"/>
        <v>612.76866681108493</v>
      </c>
      <c r="O196" s="51">
        <f t="shared" si="66"/>
        <v>0</v>
      </c>
    </row>
    <row r="197" spans="1:15" x14ac:dyDescent="0.25">
      <c r="B197" s="37"/>
    </row>
    <row r="198" spans="1:15" x14ac:dyDescent="0.25">
      <c r="B198" s="37"/>
    </row>
    <row r="199" spans="1:15" ht="15.6" x14ac:dyDescent="0.3">
      <c r="A199" s="9" t="s">
        <v>1</v>
      </c>
      <c r="B199" s="32" t="s">
        <v>25</v>
      </c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</row>
    <row r="200" spans="1:15" ht="15" customHeight="1" x14ac:dyDescent="0.25">
      <c r="B200" s="99" t="str">
        <f>"Assuming "&amp;$J$40&amp;" Exit"</f>
        <v>Assuming 2023 Exit</v>
      </c>
      <c r="C200" s="98"/>
      <c r="D200" s="97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</row>
    <row r="201" spans="1:15" ht="15" customHeight="1" x14ac:dyDescent="0.25">
      <c r="B201" s="37"/>
      <c r="D201" s="96"/>
      <c r="E201" s="90"/>
      <c r="F201" s="90"/>
      <c r="G201" s="90"/>
      <c r="H201" s="90"/>
      <c r="I201" s="37"/>
      <c r="K201" s="96"/>
      <c r="L201" s="90"/>
      <c r="M201" s="90"/>
      <c r="N201" s="90"/>
      <c r="O201" s="90"/>
    </row>
    <row r="202" spans="1:15" x14ac:dyDescent="0.25">
      <c r="C202" s="94" t="s">
        <v>93</v>
      </c>
      <c r="D202" s="95"/>
      <c r="E202" s="95"/>
      <c r="F202" s="95"/>
      <c r="G202" s="95"/>
      <c r="I202" s="37"/>
      <c r="K202" s="94" t="s">
        <v>93</v>
      </c>
      <c r="L202" s="95"/>
      <c r="M202" s="95"/>
      <c r="N202" s="95"/>
      <c r="O202" s="95"/>
    </row>
    <row r="203" spans="1:15" x14ac:dyDescent="0.25">
      <c r="B203" s="144">
        <f ca="1">SUMIFS($E$194:$E$196,$B$194:$B$196,$J$40)</f>
        <v>2.2115934234180896</v>
      </c>
      <c r="C203" s="91">
        <v>9</v>
      </c>
      <c r="D203" s="91">
        <f>+C203+0.5</f>
        <v>9.5</v>
      </c>
      <c r="E203" s="91">
        <f t="shared" ref="E203:G203" si="69">+D203+0.5</f>
        <v>10</v>
      </c>
      <c r="F203" s="91">
        <f t="shared" si="69"/>
        <v>10.5</v>
      </c>
      <c r="G203" s="91">
        <f t="shared" si="69"/>
        <v>11</v>
      </c>
      <c r="I203" s="37"/>
      <c r="J203" s="145">
        <f ca="1">SUMIFS($F$194:$F$196,$B$194:$B$196,$J$40)</f>
        <v>0.21948460607605269</v>
      </c>
      <c r="K203" s="91">
        <v>9</v>
      </c>
      <c r="L203" s="91">
        <f>+K203+0.5</f>
        <v>9.5</v>
      </c>
      <c r="M203" s="91">
        <f t="shared" ref="M203:O203" si="70">+L203+0.5</f>
        <v>10</v>
      </c>
      <c r="N203" s="91">
        <f t="shared" si="70"/>
        <v>10.5</v>
      </c>
      <c r="O203" s="91">
        <f t="shared" si="70"/>
        <v>11</v>
      </c>
    </row>
    <row r="204" spans="1:15" ht="16.2" customHeight="1" x14ac:dyDescent="0.25">
      <c r="B204" s="92">
        <v>9</v>
      </c>
      <c r="C204" s="72">
        <f t="dataTable" ref="C204:G208" dt2D="1" dtr="1" r1="E40" r2="J39" ca="1"/>
        <v>2.3560678215580397</v>
      </c>
      <c r="D204" s="72">
        <v>2.1131457748248619</v>
      </c>
      <c r="E204" s="72">
        <v>1.917451707314654</v>
      </c>
      <c r="F204" s="72">
        <v>1.7564330085882736</v>
      </c>
      <c r="G204" s="72">
        <v>1.6216234674619989</v>
      </c>
      <c r="I204" s="37"/>
      <c r="J204" s="92">
        <v>9</v>
      </c>
      <c r="K204" s="78">
        <f t="dataTable" ref="K204:O208" dt2D="1" dtr="1" r1="E40" r2="J39" ca="1"/>
        <v>0.23893050691173823</v>
      </c>
      <c r="L204" s="78">
        <v>0.20568085399265934</v>
      </c>
      <c r="M204" s="78">
        <v>0.17674160495183777</v>
      </c>
      <c r="N204" s="78">
        <v>0.15121886443304011</v>
      </c>
      <c r="O204" s="78">
        <v>0.12846347068776987</v>
      </c>
    </row>
    <row r="205" spans="1:15" ht="16.2" customHeight="1" x14ac:dyDescent="0.25">
      <c r="B205" s="92">
        <v>9.5</v>
      </c>
      <c r="C205" s="72">
        <v>2.5386321389503625</v>
      </c>
      <c r="D205" s="72">
        <v>2.2760524838697722</v>
      </c>
      <c r="E205" s="72">
        <v>2.0645225653663726</v>
      </c>
      <c r="F205" s="72">
        <v>1.8904739973517182</v>
      </c>
      <c r="G205" s="72">
        <v>1.7447554704145938</v>
      </c>
      <c r="I205" s="37"/>
      <c r="J205" s="92">
        <v>9.5</v>
      </c>
      <c r="K205" s="78">
        <v>0.26226326536178268</v>
      </c>
      <c r="L205" s="78">
        <v>0.22827487459538154</v>
      </c>
      <c r="M205" s="78">
        <v>0.19868455231480397</v>
      </c>
      <c r="N205" s="78">
        <v>0.17258052552886149</v>
      </c>
      <c r="O205" s="78">
        <v>0.14930062312108383</v>
      </c>
    </row>
    <row r="206" spans="1:15" ht="16.2" customHeight="1" x14ac:dyDescent="0.25">
      <c r="B206" s="92">
        <v>10</v>
      </c>
      <c r="C206" s="72">
        <v>2.7211964563426849</v>
      </c>
      <c r="D206" s="72">
        <v>2.4389591929146808</v>
      </c>
      <c r="E206" s="72">
        <v>2.2115934234180896</v>
      </c>
      <c r="F206" s="72">
        <v>2.0245149861151615</v>
      </c>
      <c r="G206" s="72">
        <v>1.8678874733671882</v>
      </c>
      <c r="I206" s="37"/>
      <c r="J206" s="92">
        <v>10</v>
      </c>
      <c r="K206" s="78">
        <v>0.28436947156014414</v>
      </c>
      <c r="L206" s="78">
        <v>0.24968665889358821</v>
      </c>
      <c r="M206" s="78">
        <v>0.21948460607605269</v>
      </c>
      <c r="N206" s="78">
        <v>0.19283465759525797</v>
      </c>
      <c r="O206" s="78">
        <v>0.16906235873459519</v>
      </c>
    </row>
    <row r="207" spans="1:15" ht="16.2" customHeight="1" x14ac:dyDescent="0.25">
      <c r="B207" s="92">
        <v>10.5</v>
      </c>
      <c r="C207" s="72">
        <v>2.9037607737350073</v>
      </c>
      <c r="D207" s="72">
        <v>2.6018659019595911</v>
      </c>
      <c r="E207" s="72">
        <v>2.358664281469808</v>
      </c>
      <c r="F207" s="72">
        <v>2.1585559748786061</v>
      </c>
      <c r="G207" s="72">
        <v>1.991019476319783</v>
      </c>
      <c r="I207" s="37"/>
      <c r="J207" s="92">
        <v>10.5</v>
      </c>
      <c r="K207" s="78">
        <v>0.3053897808801429</v>
      </c>
      <c r="L207" s="78">
        <v>0.27005119484433227</v>
      </c>
      <c r="M207" s="78">
        <v>0.23927170091572036</v>
      </c>
      <c r="N207" s="78">
        <v>0.21210663565356414</v>
      </c>
      <c r="O207" s="78">
        <v>0.18786989838932189</v>
      </c>
    </row>
    <row r="208" spans="1:15" ht="16.2" customHeight="1" x14ac:dyDescent="0.25">
      <c r="B208" s="92">
        <v>11</v>
      </c>
      <c r="C208" s="72">
        <v>3.0863250911273297</v>
      </c>
      <c r="D208" s="72">
        <v>2.764772611004501</v>
      </c>
      <c r="E208" s="72">
        <v>2.5057351395215259</v>
      </c>
      <c r="F208" s="72">
        <v>2.2925969636420507</v>
      </c>
      <c r="G208" s="72">
        <v>2.1141514792723783</v>
      </c>
      <c r="I208" s="37"/>
      <c r="J208" s="92">
        <v>11</v>
      </c>
      <c r="K208" s="78">
        <v>0.32544105143988999</v>
      </c>
      <c r="L208" s="78">
        <v>0.28948072466605468</v>
      </c>
      <c r="M208" s="78">
        <v>0.25815396573844707</v>
      </c>
      <c r="N208" s="78">
        <v>0.23050087884962456</v>
      </c>
      <c r="O208" s="78">
        <v>0.20582428260302255</v>
      </c>
    </row>
    <row r="209" spans="2:15" x14ac:dyDescent="0.25">
      <c r="I209" s="37"/>
    </row>
    <row r="210" spans="2:15" x14ac:dyDescent="0.25">
      <c r="I210" s="37"/>
    </row>
    <row r="211" spans="2:15" x14ac:dyDescent="0.25">
      <c r="C211" s="94" t="s">
        <v>93</v>
      </c>
      <c r="D211" s="95"/>
      <c r="E211" s="95"/>
      <c r="F211" s="95"/>
      <c r="G211" s="95"/>
      <c r="I211" s="37"/>
      <c r="K211" s="94" t="s">
        <v>93</v>
      </c>
      <c r="L211" s="95"/>
      <c r="M211" s="95"/>
      <c r="N211" s="95"/>
      <c r="O211" s="95"/>
    </row>
    <row r="212" spans="2:15" x14ac:dyDescent="0.25">
      <c r="B212" s="144">
        <f ca="1">SUMIFS($E$194:$E$196,$B$194:$B$196,$J$40)</f>
        <v>2.2115934234180896</v>
      </c>
      <c r="C212" s="91">
        <v>9</v>
      </c>
      <c r="D212" s="91">
        <f>+C212+0.5</f>
        <v>9.5</v>
      </c>
      <c r="E212" s="91">
        <f t="shared" ref="E212:G212" si="71">+D212+0.5</f>
        <v>10</v>
      </c>
      <c r="F212" s="91">
        <f t="shared" si="71"/>
        <v>10.5</v>
      </c>
      <c r="G212" s="91">
        <f t="shared" si="71"/>
        <v>11</v>
      </c>
      <c r="I212" s="37"/>
      <c r="J212" s="145">
        <f ca="1">SUMIFS($F$194:$F$196,$B$194:$B$196,$J$40)</f>
        <v>0.21948460607605269</v>
      </c>
      <c r="K212" s="91">
        <v>9</v>
      </c>
      <c r="L212" s="91">
        <f>+K212+0.5</f>
        <v>9.5</v>
      </c>
      <c r="M212" s="91">
        <f t="shared" ref="M212:O212" si="72">+L212+0.5</f>
        <v>10</v>
      </c>
      <c r="N212" s="91">
        <f t="shared" si="72"/>
        <v>10.5</v>
      </c>
      <c r="O212" s="91">
        <f t="shared" si="72"/>
        <v>11</v>
      </c>
    </row>
    <row r="213" spans="2:15" ht="16.2" customHeight="1" x14ac:dyDescent="0.25">
      <c r="B213" s="121">
        <v>4.5</v>
      </c>
      <c r="C213" s="72">
        <f t="dataTable" ref="C213:G217" dt2D="1" dtr="1" r1="E40" r2="I59" ca="1"/>
        <v>2.5459735172323508</v>
      </c>
      <c r="D213" s="72">
        <v>2.3108077515568586</v>
      </c>
      <c r="E213" s="72">
        <v>2.1168952977195929</v>
      </c>
      <c r="F213" s="72">
        <v>1.9542563697326463</v>
      </c>
      <c r="G213" s="72">
        <v>1.8158899863882769</v>
      </c>
      <c r="I213" s="37"/>
      <c r="J213" s="121">
        <v>4.5</v>
      </c>
      <c r="K213" s="78">
        <f t="dataTable" ref="K213:O217" dt2D="1" dtr="1" r1="E40" r2="I59" ca="1"/>
        <v>0.26317485073683411</v>
      </c>
      <c r="L213" s="78">
        <v>0.23293719340612862</v>
      </c>
      <c r="M213" s="78">
        <v>0.20621533238377698</v>
      </c>
      <c r="N213" s="78">
        <v>0.18234817142736603</v>
      </c>
      <c r="O213" s="78">
        <v>0.16084005055736972</v>
      </c>
    </row>
    <row r="214" spans="2:15" ht="16.2" customHeight="1" x14ac:dyDescent="0.25">
      <c r="B214" s="121">
        <v>4.75</v>
      </c>
      <c r="C214" s="72">
        <v>2.6280612629392874</v>
      </c>
      <c r="D214" s="72">
        <v>2.3712523861636843</v>
      </c>
      <c r="E214" s="72">
        <v>2.1618071546979212</v>
      </c>
      <c r="F214" s="72">
        <v>1.9877288334689962</v>
      </c>
      <c r="G214" s="72">
        <v>1.8407567860167455</v>
      </c>
      <c r="I214" s="37"/>
      <c r="J214" s="121">
        <v>4.75</v>
      </c>
      <c r="K214" s="78">
        <v>0.27323588764293083</v>
      </c>
      <c r="L214" s="78">
        <v>0.24092188885074339</v>
      </c>
      <c r="M214" s="78">
        <v>0.21256279162141323</v>
      </c>
      <c r="N214" s="78">
        <v>0.18737878308406142</v>
      </c>
      <c r="O214" s="78">
        <v>0.16479394013462922</v>
      </c>
    </row>
    <row r="215" spans="2:15" ht="16.2" customHeight="1" x14ac:dyDescent="0.25">
      <c r="B215" s="121">
        <v>5</v>
      </c>
      <c r="C215" s="72">
        <v>2.7211964562040749</v>
      </c>
      <c r="D215" s="72">
        <v>2.4389591929148047</v>
      </c>
      <c r="E215" s="72">
        <v>2.2115934234180896</v>
      </c>
      <c r="F215" s="72">
        <v>2.0245149861151615</v>
      </c>
      <c r="G215" s="72">
        <v>1.8678874733671882</v>
      </c>
      <c r="I215" s="37"/>
      <c r="J215" s="121">
        <v>5</v>
      </c>
      <c r="K215" s="78">
        <v>0.28436947154378878</v>
      </c>
      <c r="L215" s="78">
        <v>0.2496866588936042</v>
      </c>
      <c r="M215" s="78">
        <v>0.21948460607605269</v>
      </c>
      <c r="N215" s="78">
        <v>0.19283465759525797</v>
      </c>
      <c r="O215" s="78">
        <v>0.16906235873459519</v>
      </c>
    </row>
    <row r="216" spans="2:15" ht="16.2" customHeight="1" x14ac:dyDescent="0.25">
      <c r="B216" s="121">
        <v>5.25</v>
      </c>
      <c r="C216" s="72">
        <v>2.8277815608143579</v>
      </c>
      <c r="D216" s="72">
        <v>2.5153310269941094</v>
      </c>
      <c r="E216" s="72">
        <v>2.2671027846982224</v>
      </c>
      <c r="F216" s="72">
        <v>2.0651414011757439</v>
      </c>
      <c r="G216" s="72">
        <v>1.8976142056178313</v>
      </c>
      <c r="I216" s="37"/>
      <c r="J216" s="121">
        <v>5.25</v>
      </c>
      <c r="K216" s="78">
        <v>0.29676555022463691</v>
      </c>
      <c r="L216" s="78">
        <v>0.25935678684579622</v>
      </c>
      <c r="M216" s="78">
        <v>0.22706566070634704</v>
      </c>
      <c r="N216" s="78">
        <v>0.19877436794226777</v>
      </c>
      <c r="O216" s="78">
        <v>0.17368615259139286</v>
      </c>
    </row>
    <row r="217" spans="2:15" ht="16.2" customHeight="1" x14ac:dyDescent="0.25">
      <c r="B217" s="121">
        <v>5.5</v>
      </c>
      <c r="C217" s="72">
        <v>2.9078008750830326</v>
      </c>
      <c r="D217" s="72">
        <v>2.5718992992846901</v>
      </c>
      <c r="E217" s="72">
        <v>2.3077792437874174</v>
      </c>
      <c r="F217" s="72">
        <v>2.0946525437238459</v>
      </c>
      <c r="G217" s="72">
        <v>1.9190514570740131</v>
      </c>
      <c r="I217" s="37"/>
      <c r="J217" s="121">
        <v>5.5</v>
      </c>
      <c r="K217" s="78">
        <v>0.30584360249225173</v>
      </c>
      <c r="L217" s="78">
        <v>0.26637838735293728</v>
      </c>
      <c r="M217" s="78">
        <v>0.23253302776353402</v>
      </c>
      <c r="N217" s="78">
        <v>0.20303426836089855</v>
      </c>
      <c r="O217" s="78">
        <v>0.17698697011672682</v>
      </c>
    </row>
    <row r="218" spans="2:15" x14ac:dyDescent="0.25">
      <c r="I218" s="37"/>
    </row>
  </sheetData>
  <printOptions horizontalCentered="1"/>
  <pageMargins left="0.35" right="0.35" top="0.35" bottom="0.35" header="0.2" footer="0.2"/>
  <pageSetup scale="88" orientation="landscape" r:id="rId1"/>
  <headerFooter>
    <oddFooter>&amp;L&amp;"Arial,Regular"&amp;8
&amp;F - &amp;A&amp;C&amp;"Arial,Regular"&amp;8
Page &amp;P of &amp;N&amp;R&amp;"Arial,Regular"&amp;8
&amp;D at &amp;T</oddFooter>
  </headerFooter>
  <rowBreaks count="6" manualBreakCount="6">
    <brk id="36" min="1" max="14" man="1"/>
    <brk id="74" min="1" max="14" man="1"/>
    <brk id="117" min="1" max="14" man="1"/>
    <brk id="138" min="1" max="14" man="1"/>
    <brk id="181" min="1" max="14" man="1"/>
    <brk id="198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Mini Model</vt:lpstr>
      <vt:lpstr>'Mini Model'!Print_Area</vt:lpstr>
      <vt:lpstr>'Mini Model'!Print_Titles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Justin Kim</cp:lastModifiedBy>
  <cp:lastPrinted>2019-11-10T16:00:10Z</cp:lastPrinted>
  <dcterms:created xsi:type="dcterms:W3CDTF">2011-06-20T16:15:47Z</dcterms:created>
  <dcterms:modified xsi:type="dcterms:W3CDTF">2022-03-31T00:13:21Z</dcterms:modified>
</cp:coreProperties>
</file>