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17AA0B54-70C2-47D3-B4B3-3AF13DD031D7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1" r:id="rId1"/>
    <sheet name="Model" sheetId="2" r:id="rId2"/>
    <sheet name="DCF" sheetId="3" r:id="rId3"/>
  </sheets>
  <externalReferences>
    <externalReference r:id="rId4"/>
  </externalReferences>
  <definedNames>
    <definedName name="Circ">Model!$M$3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3" l="1"/>
  <c r="F24" i="3"/>
  <c r="E36" i="3"/>
  <c r="F26" i="3"/>
  <c r="L13" i="3"/>
  <c r="H14" i="3"/>
  <c r="H13" i="3"/>
  <c r="L8" i="3"/>
  <c r="H8" i="3"/>
  <c r="L7" i="3"/>
  <c r="H7" i="3"/>
  <c r="F10" i="3"/>
  <c r="F25" i="3"/>
  <c r="F27" i="3"/>
  <c r="F33" i="3"/>
  <c r="H9" i="3"/>
  <c r="H10" i="3"/>
  <c r="H11" i="3"/>
  <c r="H12" i="3"/>
  <c r="H15" i="3"/>
  <c r="H16" i="3"/>
  <c r="L36" i="3"/>
  <c r="L30" i="3"/>
  <c r="L29" i="3"/>
  <c r="L9" i="3"/>
  <c r="L10" i="3"/>
  <c r="L11" i="3"/>
  <c r="L12" i="3"/>
  <c r="I5" i="3"/>
  <c r="J5" i="3"/>
  <c r="K5" i="3"/>
  <c r="L5" i="3"/>
  <c r="L16" i="3"/>
  <c r="K16" i="3"/>
  <c r="J16" i="3"/>
  <c r="I16" i="3"/>
  <c r="I125" i="2"/>
  <c r="I131" i="2"/>
  <c r="I134" i="2"/>
  <c r="H45" i="2"/>
  <c r="I97" i="2"/>
  <c r="I119" i="2"/>
  <c r="I9" i="2"/>
  <c r="I10" i="2"/>
  <c r="I11" i="2"/>
  <c r="I12" i="2"/>
  <c r="I13" i="2"/>
  <c r="I14" i="2"/>
  <c r="I16" i="2"/>
  <c r="H57" i="2"/>
  <c r="I140" i="2"/>
  <c r="I141" i="2"/>
  <c r="J121" i="2"/>
  <c r="K121" i="2"/>
  <c r="L121" i="2"/>
  <c r="M121" i="2"/>
  <c r="J9" i="2"/>
  <c r="K9" i="2"/>
  <c r="L9" i="2"/>
  <c r="M9" i="2"/>
  <c r="M10" i="2"/>
  <c r="M11" i="2"/>
  <c r="M12" i="2"/>
  <c r="M13" i="2"/>
  <c r="M14" i="2"/>
  <c r="J15" i="2"/>
  <c r="K15" i="2"/>
  <c r="L15" i="2"/>
  <c r="M15" i="2"/>
  <c r="M16" i="2"/>
  <c r="G7" i="2"/>
  <c r="H7" i="2"/>
  <c r="I7" i="2"/>
  <c r="J7" i="2"/>
  <c r="K7" i="2"/>
  <c r="L7" i="2"/>
  <c r="M7" i="2"/>
  <c r="M117" i="2"/>
  <c r="L117" i="2"/>
  <c r="K117" i="2"/>
  <c r="J117" i="2"/>
  <c r="I117" i="2"/>
  <c r="H113" i="2"/>
  <c r="H114" i="2"/>
  <c r="G113" i="2"/>
  <c r="G114" i="2"/>
  <c r="F113" i="2"/>
  <c r="F114" i="2"/>
  <c r="M110" i="2"/>
  <c r="M113" i="2"/>
  <c r="I110" i="2"/>
  <c r="I113" i="2"/>
  <c r="H111" i="2"/>
  <c r="G111" i="2"/>
  <c r="F111" i="2"/>
  <c r="I105" i="2"/>
  <c r="I106" i="2"/>
  <c r="I107" i="2"/>
  <c r="I108" i="2"/>
  <c r="J105" i="2"/>
  <c r="M107" i="2"/>
  <c r="M106" i="2"/>
  <c r="I93" i="2"/>
  <c r="M89" i="2"/>
  <c r="M90" i="2"/>
  <c r="I89" i="2"/>
  <c r="I90" i="2"/>
  <c r="H58" i="2"/>
  <c r="I58" i="2"/>
  <c r="J58" i="2"/>
  <c r="K58" i="2"/>
  <c r="L58" i="2"/>
  <c r="M58" i="2"/>
  <c r="M86" i="2"/>
  <c r="L86" i="2"/>
  <c r="K86" i="2"/>
  <c r="J86" i="2"/>
  <c r="I86" i="2"/>
  <c r="H50" i="2"/>
  <c r="I50" i="2"/>
  <c r="J50" i="2"/>
  <c r="K50" i="2"/>
  <c r="L50" i="2"/>
  <c r="M50" i="2"/>
  <c r="M85" i="2"/>
  <c r="L85" i="2"/>
  <c r="K85" i="2"/>
  <c r="J85" i="2"/>
  <c r="I85" i="2"/>
  <c r="I46" i="2"/>
  <c r="I47" i="2"/>
  <c r="I54" i="2"/>
  <c r="I55" i="2"/>
  <c r="I56" i="2"/>
  <c r="I75" i="2"/>
  <c r="H75" i="2"/>
  <c r="I76" i="2"/>
  <c r="I84" i="2"/>
  <c r="M27" i="2"/>
  <c r="M83" i="2"/>
  <c r="I27" i="2"/>
  <c r="I83" i="2"/>
  <c r="M82" i="2"/>
  <c r="I82" i="2"/>
  <c r="M79" i="2"/>
  <c r="L79" i="2"/>
  <c r="K79" i="2"/>
  <c r="J79" i="2"/>
  <c r="I79" i="2"/>
  <c r="G75" i="2"/>
  <c r="H76" i="2"/>
  <c r="M46" i="2"/>
  <c r="M47" i="2"/>
  <c r="M54" i="2"/>
  <c r="M55" i="2"/>
  <c r="M56" i="2"/>
  <c r="M75" i="2"/>
  <c r="H74" i="2"/>
  <c r="G74" i="2"/>
  <c r="H73" i="2"/>
  <c r="G73" i="2"/>
  <c r="H72" i="2"/>
  <c r="G72" i="2"/>
  <c r="H71" i="2"/>
  <c r="G71" i="2"/>
  <c r="H70" i="2"/>
  <c r="G70" i="2"/>
  <c r="H51" i="2"/>
  <c r="H59" i="2"/>
  <c r="H61" i="2"/>
  <c r="H65" i="2"/>
  <c r="H67" i="2"/>
  <c r="G45" i="2"/>
  <c r="G50" i="2"/>
  <c r="G51" i="2"/>
  <c r="G57" i="2"/>
  <c r="G58" i="2"/>
  <c r="G59" i="2"/>
  <c r="G61" i="2"/>
  <c r="G65" i="2"/>
  <c r="G67" i="2"/>
  <c r="I61" i="2"/>
  <c r="I62" i="2"/>
  <c r="I63" i="2"/>
  <c r="J63" i="2"/>
  <c r="K63" i="2"/>
  <c r="L63" i="2"/>
  <c r="M63" i="2"/>
  <c r="J62" i="2"/>
  <c r="K62" i="2"/>
  <c r="L62" i="2"/>
  <c r="M62" i="2"/>
  <c r="I49" i="2"/>
  <c r="J49" i="2"/>
  <c r="K49" i="2"/>
  <c r="L49" i="2"/>
  <c r="M49" i="2"/>
  <c r="I48" i="2"/>
  <c r="M43" i="2"/>
  <c r="L43" i="2"/>
  <c r="K43" i="2"/>
  <c r="J43" i="2"/>
  <c r="I43" i="2"/>
  <c r="H43" i="2"/>
  <c r="G43" i="2"/>
  <c r="M25" i="2"/>
  <c r="M26" i="2"/>
  <c r="M28" i="2"/>
  <c r="M40" i="2"/>
  <c r="I25" i="2"/>
  <c r="I26" i="2"/>
  <c r="I28" i="2"/>
  <c r="I40" i="2"/>
  <c r="H11" i="2"/>
  <c r="H14" i="2"/>
  <c r="H16" i="2"/>
  <c r="H25" i="2"/>
  <c r="H28" i="2"/>
  <c r="H40" i="2"/>
  <c r="G11" i="2"/>
  <c r="G14" i="2"/>
  <c r="G16" i="2"/>
  <c r="G25" i="2"/>
  <c r="G28" i="2"/>
  <c r="G40" i="2"/>
  <c r="F11" i="2"/>
  <c r="F14" i="2"/>
  <c r="F16" i="2"/>
  <c r="F25" i="2"/>
  <c r="F28" i="2"/>
  <c r="F40" i="2"/>
  <c r="H39" i="2"/>
  <c r="G39" i="2"/>
  <c r="F39" i="2"/>
  <c r="H17" i="2"/>
  <c r="H18" i="2"/>
  <c r="H20" i="2"/>
  <c r="H21" i="2"/>
  <c r="H22" i="2"/>
  <c r="H38" i="2"/>
  <c r="G17" i="2"/>
  <c r="G18" i="2"/>
  <c r="G20" i="2"/>
  <c r="G21" i="2"/>
  <c r="G22" i="2"/>
  <c r="G38" i="2"/>
  <c r="F17" i="2"/>
  <c r="F18" i="2"/>
  <c r="F20" i="2"/>
  <c r="F21" i="2"/>
  <c r="F22" i="2"/>
  <c r="F38" i="2"/>
  <c r="J37" i="2"/>
  <c r="K37" i="2"/>
  <c r="L37" i="2"/>
  <c r="M37" i="2"/>
  <c r="H37" i="2"/>
  <c r="G37" i="2"/>
  <c r="F37" i="2"/>
  <c r="M36" i="2"/>
  <c r="I36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J19" i="2"/>
  <c r="K19" i="2"/>
  <c r="L19" i="2"/>
  <c r="M19" i="2"/>
  <c r="E38" i="3"/>
  <c r="F36" i="3"/>
  <c r="F37" i="3"/>
  <c r="F40" i="3"/>
  <c r="H17" i="3"/>
  <c r="F38" i="3"/>
  <c r="I7" i="3"/>
  <c r="J7" i="3"/>
  <c r="K7" i="3"/>
  <c r="I8" i="3"/>
  <c r="J8" i="3"/>
  <c r="K8" i="3"/>
  <c r="I9" i="3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L14" i="3"/>
  <c r="I15" i="3"/>
  <c r="J15" i="3"/>
  <c r="K15" i="3"/>
  <c r="L15" i="3"/>
  <c r="I17" i="3"/>
  <c r="J17" i="3"/>
  <c r="K17" i="3"/>
  <c r="L17" i="3"/>
  <c r="L23" i="3"/>
  <c r="L25" i="3"/>
  <c r="L26" i="3"/>
  <c r="L27" i="3"/>
  <c r="L28" i="3"/>
  <c r="L31" i="3"/>
  <c r="L37" i="3"/>
  <c r="L38" i="3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16" i="2"/>
  <c r="K16" i="2"/>
  <c r="L16" i="2"/>
  <c r="I17" i="2"/>
  <c r="J17" i="2"/>
  <c r="K17" i="2"/>
  <c r="L17" i="2"/>
  <c r="M17" i="2"/>
  <c r="I18" i="2"/>
  <c r="J18" i="2"/>
  <c r="K18" i="2"/>
  <c r="L18" i="2"/>
  <c r="M18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J25" i="2"/>
  <c r="K25" i="2"/>
  <c r="L25" i="2"/>
  <c r="J26" i="2"/>
  <c r="K26" i="2"/>
  <c r="L26" i="2"/>
  <c r="J27" i="2"/>
  <c r="K27" i="2"/>
  <c r="L27" i="2"/>
  <c r="J28" i="2"/>
  <c r="K28" i="2"/>
  <c r="L28" i="2"/>
  <c r="J32" i="2"/>
  <c r="K32" i="2"/>
  <c r="L32" i="2"/>
  <c r="J33" i="2"/>
  <c r="K33" i="2"/>
  <c r="L33" i="2"/>
  <c r="J34" i="2"/>
  <c r="K34" i="2"/>
  <c r="L34" i="2"/>
  <c r="J35" i="2"/>
  <c r="K35" i="2"/>
  <c r="L35" i="2"/>
  <c r="J36" i="2"/>
  <c r="K36" i="2"/>
  <c r="L36" i="2"/>
  <c r="I38" i="2"/>
  <c r="J38" i="2"/>
  <c r="K38" i="2"/>
  <c r="L38" i="2"/>
  <c r="M38" i="2"/>
  <c r="J39" i="2"/>
  <c r="K39" i="2"/>
  <c r="L39" i="2"/>
  <c r="J40" i="2"/>
  <c r="K40" i="2"/>
  <c r="L40" i="2"/>
  <c r="I45" i="2"/>
  <c r="J45" i="2"/>
  <c r="K45" i="2"/>
  <c r="L45" i="2"/>
  <c r="M45" i="2"/>
  <c r="J46" i="2"/>
  <c r="K46" i="2"/>
  <c r="L46" i="2"/>
  <c r="J47" i="2"/>
  <c r="K47" i="2"/>
  <c r="L47" i="2"/>
  <c r="J48" i="2"/>
  <c r="K48" i="2"/>
  <c r="L48" i="2"/>
  <c r="M48" i="2"/>
  <c r="I51" i="2"/>
  <c r="J51" i="2"/>
  <c r="K51" i="2"/>
  <c r="L51" i="2"/>
  <c r="M51" i="2"/>
  <c r="I53" i="2"/>
  <c r="J53" i="2"/>
  <c r="K53" i="2"/>
  <c r="L53" i="2"/>
  <c r="M53" i="2"/>
  <c r="J54" i="2"/>
  <c r="K54" i="2"/>
  <c r="L54" i="2"/>
  <c r="J55" i="2"/>
  <c r="K55" i="2"/>
  <c r="L55" i="2"/>
  <c r="J56" i="2"/>
  <c r="K56" i="2"/>
  <c r="L56" i="2"/>
  <c r="I57" i="2"/>
  <c r="J57" i="2"/>
  <c r="K57" i="2"/>
  <c r="L57" i="2"/>
  <c r="M57" i="2"/>
  <c r="I59" i="2"/>
  <c r="J59" i="2"/>
  <c r="K59" i="2"/>
  <c r="L59" i="2"/>
  <c r="M59" i="2"/>
  <c r="J61" i="2"/>
  <c r="K61" i="2"/>
  <c r="L61" i="2"/>
  <c r="M61" i="2"/>
  <c r="I64" i="2"/>
  <c r="J64" i="2"/>
  <c r="K64" i="2"/>
  <c r="L64" i="2"/>
  <c r="M64" i="2"/>
  <c r="I65" i="2"/>
  <c r="J65" i="2"/>
  <c r="K65" i="2"/>
  <c r="L65" i="2"/>
  <c r="M65" i="2"/>
  <c r="I67" i="2"/>
  <c r="J67" i="2"/>
  <c r="K67" i="2"/>
  <c r="L67" i="2"/>
  <c r="M67" i="2"/>
  <c r="K70" i="2"/>
  <c r="L70" i="2"/>
  <c r="J71" i="2"/>
  <c r="K71" i="2"/>
  <c r="L71" i="2"/>
  <c r="J72" i="2"/>
  <c r="K72" i="2"/>
  <c r="L72" i="2"/>
  <c r="J73" i="2"/>
  <c r="K73" i="2"/>
  <c r="L73" i="2"/>
  <c r="J74" i="2"/>
  <c r="K74" i="2"/>
  <c r="L74" i="2"/>
  <c r="J75" i="2"/>
  <c r="K75" i="2"/>
  <c r="L75" i="2"/>
  <c r="J76" i="2"/>
  <c r="K76" i="2"/>
  <c r="L76" i="2"/>
  <c r="M76" i="2"/>
  <c r="I81" i="2"/>
  <c r="J81" i="2"/>
  <c r="K81" i="2"/>
  <c r="L81" i="2"/>
  <c r="M81" i="2"/>
  <c r="J82" i="2"/>
  <c r="K82" i="2"/>
  <c r="L82" i="2"/>
  <c r="J83" i="2"/>
  <c r="K83" i="2"/>
  <c r="L83" i="2"/>
  <c r="J84" i="2"/>
  <c r="K84" i="2"/>
  <c r="L84" i="2"/>
  <c r="M84" i="2"/>
  <c r="I87" i="2"/>
  <c r="J87" i="2"/>
  <c r="K87" i="2"/>
  <c r="L87" i="2"/>
  <c r="M87" i="2"/>
  <c r="J89" i="2"/>
  <c r="K89" i="2"/>
  <c r="L89" i="2"/>
  <c r="J90" i="2"/>
  <c r="K90" i="2"/>
  <c r="L90" i="2"/>
  <c r="I92" i="2"/>
  <c r="J92" i="2"/>
  <c r="K92" i="2"/>
  <c r="L92" i="2"/>
  <c r="M92" i="2"/>
  <c r="J93" i="2"/>
  <c r="K93" i="2"/>
  <c r="L93" i="2"/>
  <c r="M93" i="2"/>
  <c r="I94" i="2"/>
  <c r="J94" i="2"/>
  <c r="K94" i="2"/>
  <c r="L94" i="2"/>
  <c r="M94" i="2"/>
  <c r="I95" i="2"/>
  <c r="J95" i="2"/>
  <c r="K95" i="2"/>
  <c r="L95" i="2"/>
  <c r="M95" i="2"/>
  <c r="J97" i="2"/>
  <c r="K97" i="2"/>
  <c r="L97" i="2"/>
  <c r="M97" i="2"/>
  <c r="I98" i="2"/>
  <c r="J98" i="2"/>
  <c r="K98" i="2"/>
  <c r="L98" i="2"/>
  <c r="M98" i="2"/>
  <c r="I99" i="2"/>
  <c r="J99" i="2"/>
  <c r="K99" i="2"/>
  <c r="L99" i="2"/>
  <c r="M99" i="2"/>
  <c r="I100" i="2"/>
  <c r="J100" i="2"/>
  <c r="K100" i="2"/>
  <c r="L100" i="2"/>
  <c r="M100" i="2"/>
  <c r="K105" i="2"/>
  <c r="L105" i="2"/>
  <c r="M105" i="2"/>
  <c r="J106" i="2"/>
  <c r="K106" i="2"/>
  <c r="L106" i="2"/>
  <c r="J107" i="2"/>
  <c r="K107" i="2"/>
  <c r="L107" i="2"/>
  <c r="J108" i="2"/>
  <c r="K108" i="2"/>
  <c r="L108" i="2"/>
  <c r="M108" i="2"/>
  <c r="J110" i="2"/>
  <c r="K110" i="2"/>
  <c r="L110" i="2"/>
  <c r="J111" i="2"/>
  <c r="K111" i="2"/>
  <c r="L111" i="2"/>
  <c r="J113" i="2"/>
  <c r="K113" i="2"/>
  <c r="L113" i="2"/>
  <c r="J114" i="2"/>
  <c r="K114" i="2"/>
  <c r="L114" i="2"/>
  <c r="J119" i="2"/>
  <c r="K119" i="2"/>
  <c r="L119" i="2"/>
  <c r="M119" i="2"/>
  <c r="I120" i="2"/>
  <c r="J120" i="2"/>
  <c r="K120" i="2"/>
  <c r="L120" i="2"/>
  <c r="M120" i="2"/>
  <c r="I122" i="2"/>
  <c r="J122" i="2"/>
  <c r="K122" i="2"/>
  <c r="L122" i="2"/>
  <c r="M122" i="2"/>
  <c r="J125" i="2"/>
  <c r="K125" i="2"/>
  <c r="L125" i="2"/>
  <c r="M125" i="2"/>
  <c r="I126" i="2"/>
  <c r="J126" i="2"/>
  <c r="K126" i="2"/>
  <c r="L126" i="2"/>
  <c r="M126" i="2"/>
  <c r="I127" i="2"/>
  <c r="J127" i="2"/>
  <c r="K127" i="2"/>
  <c r="L127" i="2"/>
  <c r="M127" i="2"/>
  <c r="I128" i="2"/>
  <c r="J128" i="2"/>
  <c r="K128" i="2"/>
  <c r="L128" i="2"/>
  <c r="M128" i="2"/>
  <c r="I130" i="2"/>
  <c r="J130" i="2"/>
  <c r="K130" i="2"/>
  <c r="L130" i="2"/>
  <c r="M130" i="2"/>
  <c r="J131" i="2"/>
  <c r="K131" i="2"/>
  <c r="L131" i="2"/>
  <c r="M131" i="2"/>
  <c r="I132" i="2"/>
  <c r="J132" i="2"/>
  <c r="K132" i="2"/>
  <c r="L132" i="2"/>
  <c r="M132" i="2"/>
  <c r="I133" i="2"/>
  <c r="J133" i="2"/>
  <c r="K133" i="2"/>
  <c r="L133" i="2"/>
  <c r="M133" i="2"/>
  <c r="J134" i="2"/>
  <c r="K134" i="2"/>
  <c r="L134" i="2"/>
  <c r="M134" i="2"/>
  <c r="I135" i="2"/>
  <c r="J135" i="2"/>
  <c r="K135" i="2"/>
  <c r="L135" i="2"/>
  <c r="M135" i="2"/>
  <c r="I137" i="2"/>
  <c r="J137" i="2"/>
  <c r="K137" i="2"/>
  <c r="L137" i="2"/>
  <c r="M137" i="2"/>
  <c r="J140" i="2"/>
  <c r="K140" i="2"/>
  <c r="L140" i="2"/>
  <c r="M140" i="2"/>
  <c r="J141" i="2"/>
  <c r="K141" i="2"/>
  <c r="L141" i="2"/>
  <c r="M141" i="2"/>
  <c r="I142" i="2"/>
  <c r="J142" i="2"/>
  <c r="K142" i="2"/>
  <c r="L142" i="2"/>
  <c r="M142" i="2"/>
  <c r="I143" i="2"/>
  <c r="J143" i="2"/>
  <c r="K143" i="2"/>
  <c r="L143" i="2"/>
  <c r="M143" i="2"/>
  <c r="I144" i="2"/>
  <c r="J144" i="2"/>
  <c r="K144" i="2"/>
  <c r="L144" i="2"/>
  <c r="M144" i="2"/>
  <c r="I147" i="2"/>
  <c r="J147" i="2"/>
  <c r="K147" i="2"/>
  <c r="L147" i="2"/>
  <c r="M147" i="2"/>
  <c r="I148" i="2"/>
  <c r="J148" i="2"/>
  <c r="K148" i="2"/>
  <c r="L148" i="2"/>
  <c r="M148" i="2"/>
  <c r="I149" i="2"/>
  <c r="J149" i="2"/>
  <c r="K149" i="2"/>
  <c r="L149" i="2"/>
  <c r="M149" i="2"/>
  <c r="I150" i="2"/>
  <c r="J150" i="2"/>
  <c r="K150" i="2"/>
  <c r="L150" i="2"/>
  <c r="M150" i="2"/>
  <c r="I151" i="2"/>
  <c r="J151" i="2"/>
  <c r="K151" i="2"/>
  <c r="L151" i="2"/>
  <c r="M151" i="2"/>
  <c r="I152" i="2"/>
  <c r="J152" i="2"/>
  <c r="K152" i="2"/>
  <c r="L152" i="2"/>
  <c r="M152" i="2"/>
  <c r="I153" i="2"/>
  <c r="J153" i="2"/>
  <c r="K153" i="2"/>
  <c r="L153" i="2"/>
  <c r="M153" i="2"/>
</calcChain>
</file>

<file path=xl/sharedStrings.xml><?xml version="1.0" encoding="utf-8"?>
<sst xmlns="http://schemas.openxmlformats.org/spreadsheetml/2006/main" count="208" uniqueCount="176">
  <si>
    <t>Online Self-Study Courses</t>
  </si>
  <si>
    <t>Instructor-Led Boot Camps</t>
  </si>
  <si>
    <t>1:1 Private Lessons</t>
  </si>
  <si>
    <t>Free Guides and Lessons</t>
  </si>
  <si>
    <t>Template Library</t>
  </si>
  <si>
    <t>© 2022 Wall Street Prep, Inc. All Rights Reserved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</si>
  <si>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</si>
  <si>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</si>
  <si>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Net Income</t>
  </si>
  <si>
    <t>Plus: D&amp;A</t>
  </si>
  <si>
    <t>Less: Capex</t>
  </si>
  <si>
    <t>Long-Term Growth Rate</t>
  </si>
  <si>
    <t>Final Year FCF × (1 + g)</t>
  </si>
  <si>
    <t>Terminal Value in Final Year</t>
  </si>
  <si>
    <t>Equity Value</t>
  </si>
  <si>
    <t>Implied Share Price</t>
  </si>
  <si>
    <t>Cost of Equity</t>
  </si>
  <si>
    <t>Capex</t>
  </si>
  <si>
    <t>Amazon Valuation Model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</si>
  <si>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Amazon Valuation Model</t>
    </r>
  </si>
  <si>
    <t>x</t>
  </si>
  <si>
    <t>Amazon 3-Statement Model</t>
  </si>
  <si>
    <t>Company Name:</t>
  </si>
  <si>
    <t>Amazon.com, Inc.</t>
  </si>
  <si>
    <t>Current Share Price:</t>
  </si>
  <si>
    <t>Circ. Switch:</t>
  </si>
  <si>
    <t>Ticker Symbol:</t>
  </si>
  <si>
    <t>NASDAQ: AMZN</t>
  </si>
  <si>
    <t>Latest Closing Date:</t>
  </si>
  <si>
    <t>Income Statement</t>
  </si>
  <si>
    <t>Net Sales</t>
  </si>
  <si>
    <t>Less: Cost of Sales</t>
  </si>
  <si>
    <t>Gross Profit</t>
  </si>
  <si>
    <t>Less: Fulfillment</t>
  </si>
  <si>
    <t>Less: Research and Development</t>
  </si>
  <si>
    <t>Less: Selling, General and Administrative</t>
  </si>
  <si>
    <t>Less: Other Operating Expense</t>
  </si>
  <si>
    <t>EBIT</t>
  </si>
  <si>
    <t>Less: Interest Expense</t>
  </si>
  <si>
    <t>Plus: Interest Income</t>
  </si>
  <si>
    <t>Plus: Other Income / (Expense)</t>
  </si>
  <si>
    <t>EBT</t>
  </si>
  <si>
    <t>Less: Taxes</t>
  </si>
  <si>
    <t>Non-GAAP Reconciliation</t>
  </si>
  <si>
    <t>Plus: Depreciation and Amortization</t>
  </si>
  <si>
    <t>Plus: Stock-Based Compensation</t>
  </si>
  <si>
    <t>EBITDA</t>
  </si>
  <si>
    <t>Operating Assumptions</t>
  </si>
  <si>
    <t>Sales Growth Rate</t>
  </si>
  <si>
    <t>Gross Margin</t>
  </si>
  <si>
    <t>Fulfilment % of Sales</t>
  </si>
  <si>
    <t>R&amp;D Margin</t>
  </si>
  <si>
    <t>SG&amp;A Margin</t>
  </si>
  <si>
    <t>EBIT Margin</t>
  </si>
  <si>
    <t>Effective Tax Rate</t>
  </si>
  <si>
    <t>Net Margin</t>
  </si>
  <si>
    <t>SBC % of Sales</t>
  </si>
  <si>
    <t>EBITDA Margin</t>
  </si>
  <si>
    <t>Balance Sheet</t>
  </si>
  <si>
    <t>Cash and Cash Equivalents</t>
  </si>
  <si>
    <t>Inventories</t>
  </si>
  <si>
    <t>Accounts Receivable, net</t>
  </si>
  <si>
    <t>Property, Plant and Equipment, net</t>
  </si>
  <si>
    <t>Goodwill</t>
  </si>
  <si>
    <t>Other Long-Term Assets</t>
  </si>
  <si>
    <t>Total Assets</t>
  </si>
  <si>
    <t>Revolver</t>
  </si>
  <si>
    <t>Accounts Payable</t>
  </si>
  <si>
    <t>Accrued Expenses</t>
  </si>
  <si>
    <t>Deferred Revenue</t>
  </si>
  <si>
    <t>Long-Term Debt</t>
  </si>
  <si>
    <t>Other Long-Term Liabilities</t>
  </si>
  <si>
    <t>Total Liabilities</t>
  </si>
  <si>
    <t>Common Stock and APIC</t>
  </si>
  <si>
    <t>Treasury Stock</t>
  </si>
  <si>
    <t>Other Comprehensive Income / (Loss)</t>
  </si>
  <si>
    <t>Retained Earnings</t>
  </si>
  <si>
    <t>Total Equity</t>
  </si>
  <si>
    <t>Check</t>
  </si>
  <si>
    <t>Working Capital Schedule</t>
  </si>
  <si>
    <t>Inventory Days</t>
  </si>
  <si>
    <t>A/R Days</t>
  </si>
  <si>
    <t>A/P Days</t>
  </si>
  <si>
    <t>Accrued Expenses % Sales</t>
  </si>
  <si>
    <t>Deferred Revenue % Sales</t>
  </si>
  <si>
    <t>Net Working Capital (NWC)</t>
  </si>
  <si>
    <t>Change in NWC</t>
  </si>
  <si>
    <t>Cash Flow Statement</t>
  </si>
  <si>
    <t>Depreciation and Amortization</t>
  </si>
  <si>
    <t>Stock-Based Compensation</t>
  </si>
  <si>
    <t>(Increase) / Decrease in NWC</t>
  </si>
  <si>
    <t>(Increase) / Decrease in Other Long-Term Assets</t>
  </si>
  <si>
    <t>Increase / (Decrease) in Other Long-Term Liabilities</t>
  </si>
  <si>
    <t>Cash Flow from Operating Activities</t>
  </si>
  <si>
    <t>Capital Expenditures</t>
  </si>
  <si>
    <t>Cash Flow from Investing Activities</t>
  </si>
  <si>
    <t>Revolver Drawdown / (Repayment)</t>
  </si>
  <si>
    <t>Mandatory Repayment</t>
  </si>
  <si>
    <t>Optional Repayment</t>
  </si>
  <si>
    <t>Cash Flow from Financing Activities</t>
  </si>
  <si>
    <t>Beginning Cash Balance</t>
  </si>
  <si>
    <t>Plus: Net Change in Cash</t>
  </si>
  <si>
    <t>Ending Cash Balance</t>
  </si>
  <si>
    <t>Interest Income</t>
  </si>
  <si>
    <t>PP&amp;E Schedule</t>
  </si>
  <si>
    <t>Property, Plant &amp; Equipment</t>
  </si>
  <si>
    <t>Beginning Balance</t>
  </si>
  <si>
    <t>Plus: Capex</t>
  </si>
  <si>
    <t>Less: Depreciation</t>
  </si>
  <si>
    <t>Ending Balance</t>
  </si>
  <si>
    <t>Capex % of Sales</t>
  </si>
  <si>
    <t>D&amp;A % of Capex</t>
  </si>
  <si>
    <t>Debt Schedule</t>
  </si>
  <si>
    <t>Plus: Excess Free Cash Flow (FCF)</t>
  </si>
  <si>
    <t>Less: Minimum Cash Balance</t>
  </si>
  <si>
    <t>Cash Available for Revolver</t>
  </si>
  <si>
    <t>Revolving Credit Facility</t>
  </si>
  <si>
    <t>Plus: Drawdown / (Repayment)</t>
  </si>
  <si>
    <t>Revolver Interest Expense</t>
  </si>
  <si>
    <t>Beginning Undrawn Portion</t>
  </si>
  <si>
    <t>Ending Undrawn Portion</t>
  </si>
  <si>
    <t>Cash Available for Sweep</t>
  </si>
  <si>
    <t>% Amort.</t>
  </si>
  <si>
    <t>% Sweep</t>
  </si>
  <si>
    <t>Less: Mandatory Repayment</t>
  </si>
  <si>
    <t>Less: Optional Repayment</t>
  </si>
  <si>
    <t>Long-Term Debt Interest Expense</t>
  </si>
  <si>
    <t>Interest Schedule</t>
  </si>
  <si>
    <t>Revolver Interest</t>
  </si>
  <si>
    <t>Unsecured Revolver Unused Commitment Fee</t>
  </si>
  <si>
    <t>Secured Revolver Unused Commitment Fee</t>
  </si>
  <si>
    <t>Long-Term Debt Interest</t>
  </si>
  <si>
    <t>Total Interest Expense</t>
  </si>
  <si>
    <t>Less: Interest Income</t>
  </si>
  <si>
    <t>Net Interest Income</t>
  </si>
  <si>
    <t>Amazon DCF Model</t>
  </si>
  <si>
    <t>Free Cash Flow Build</t>
  </si>
  <si>
    <t>Less: D&amp;A</t>
  </si>
  <si>
    <t>% Tax Rate</t>
  </si>
  <si>
    <t>NOPAT</t>
  </si>
  <si>
    <t>Less: Increase / (Decrease) in NWC</t>
  </si>
  <si>
    <t>Free Cash Flow to Firm (FCFF)</t>
  </si>
  <si>
    <t>Present Value of FCFF</t>
  </si>
  <si>
    <t>WACC Calculation</t>
  </si>
  <si>
    <t>DCF Valuation</t>
  </si>
  <si>
    <t>Cost of Debt</t>
  </si>
  <si>
    <t>Perpetuity Growth Approach</t>
  </si>
  <si>
    <t>Interest Expense</t>
  </si>
  <si>
    <t>Present Value of FCFFs (Stage 1)</t>
  </si>
  <si>
    <t>Total Debt Balance</t>
  </si>
  <si>
    <t>Pre-Tax Cost of Debt</t>
  </si>
  <si>
    <t>Tax Rate</t>
  </si>
  <si>
    <t>After-Tax Cost of Debt (kd)</t>
  </si>
  <si>
    <t>Present Value of Terminal Value (Stage 2)</t>
  </si>
  <si>
    <t>Total Enterprise Value (TEV)</t>
  </si>
  <si>
    <t>Less: Total Debt</t>
  </si>
  <si>
    <t>Risk-Free Rate (rf)</t>
  </si>
  <si>
    <t>Plus: Cash and Cash Equivalents</t>
  </si>
  <si>
    <t>Beta (β)</t>
  </si>
  <si>
    <t>Equity Risk Premium (ERP)</t>
  </si>
  <si>
    <t>Cost of Equity (ke)</t>
  </si>
  <si>
    <t>Share Price Calculation</t>
  </si>
  <si>
    <t>Pre-Split Diluted Shares Outstanding</t>
  </si>
  <si>
    <t>Capital Structure Weights</t>
  </si>
  <si>
    <t>Stock-Split Ratio</t>
  </si>
  <si>
    <t>Net Debt</t>
  </si>
  <si>
    <t>Split Adjusted Diluted Share Count</t>
  </si>
  <si>
    <t>Total Capitalization</t>
  </si>
  <si>
    <t>% Upside / (Downside)</t>
  </si>
  <si>
    <t>WACC</t>
  </si>
  <si>
    <t>% Rate</t>
  </si>
  <si>
    <t>Secured Revolver Commitment Fee</t>
  </si>
  <si>
    <t>Unsecured Revolver Commitment Fee</t>
  </si>
  <si>
    <t>% Fee</t>
  </si>
  <si>
    <t>$ Amount</t>
  </si>
  <si>
    <t>Discount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</si>
</sst>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#,##0.0_);\(#,##0.0\);\-\-_);@_)"/>
    <numFmt numFmtId="168" formatCode="&quot;$&quot;#,##0.00_);\(&quot;$&quot;#,##0.00\);\-\-_);@_)"/>
    <numFmt numFmtId="169" formatCode="&quot;OFF&quot;_);&quot;OFF&quot;_);&quot;ON&quot;_)"/>
    <numFmt numFmtId="170" formatCode="mm/dd/yy_)"/>
    <numFmt numFmtId="171" formatCode="yyyy&quot;A&quot;_)"/>
    <numFmt numFmtId="172" formatCode="yyyy&quot;E&quot;_)"/>
    <numFmt numFmtId="173" formatCode="0\ &quot;Days&quot;_)"/>
    <numFmt numFmtId="174" formatCode="#,##0.00%_);\(#,##0.00%\);\-\-_);@_)"/>
    <numFmt numFmtId="175" formatCode="#,##0.00_);\(#,##0.00\);\-\-_);@_)"/>
    <numFmt numFmtId="176" formatCode="&quot;1-for-&quot;0_)"/>
  </numFmts>
  <fonts count="30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sz val="14"/>
      <color theme="8" tint="-0.249977111117893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4"/>
      <color theme="10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name val="Arial"/>
      <family val="2"/>
      <scheme val="minor"/>
    </font>
    <font>
      <b/>
      <sz val="10"/>
      <color rgb="FF002060"/>
      <name val="Arial"/>
      <family val="2"/>
      <scheme val="minor"/>
    </font>
    <font>
      <sz val="10"/>
      <name val="Arial"/>
      <family val="2"/>
      <scheme val="minor"/>
    </font>
    <font>
      <sz val="10"/>
      <color rgb="FF0066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  <font>
      <b/>
      <u/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</cellStyleXfs>
  <cellXfs count="170">
    <xf numFmtId="0" fontId="0" fillId="0" borderId="0" xfId="0"/>
    <xf numFmtId="164" fontId="1" fillId="11" borderId="0" xfId="0" applyNumberFormat="1" applyFont="1" applyFill="1"/>
    <xf numFmtId="49" fontId="1" fillId="9" borderId="5" xfId="0" applyNumberFormat="1" applyFont="1" applyFill="1" applyBorder="1"/>
    <xf numFmtId="49" fontId="12" fillId="9" borderId="6" xfId="0" applyNumberFormat="1" applyFont="1" applyFill="1" applyBorder="1"/>
    <xf numFmtId="49" fontId="12" fillId="9" borderId="7" xfId="0" applyNumberFormat="1" applyFont="1" applyFill="1" applyBorder="1"/>
    <xf numFmtId="49" fontId="12" fillId="10" borderId="5" xfId="0" applyNumberFormat="1" applyFont="1" applyFill="1" applyBorder="1"/>
    <xf numFmtId="49" fontId="12" fillId="10" borderId="6" xfId="0" applyNumberFormat="1" applyFont="1" applyFill="1" applyBorder="1"/>
    <xf numFmtId="49" fontId="12" fillId="10" borderId="7" xfId="0" applyNumberFormat="1" applyFont="1" applyFill="1" applyBorder="1"/>
    <xf numFmtId="49" fontId="1" fillId="9" borderId="8" xfId="0" applyNumberFormat="1" applyFont="1" applyFill="1" applyBorder="1"/>
    <xf numFmtId="49" fontId="12" fillId="9" borderId="0" xfId="0" applyNumberFormat="1" applyFont="1" applyFill="1" applyBorder="1"/>
    <xf numFmtId="49" fontId="12" fillId="9" borderId="9" xfId="0" applyNumberFormat="1" applyFont="1" applyFill="1" applyBorder="1"/>
    <xf numFmtId="49" fontId="12" fillId="10" borderId="8" xfId="0" applyNumberFormat="1" applyFont="1" applyFill="1" applyBorder="1" applyAlignment="1">
      <alignment horizontal="center"/>
    </xf>
    <xf numFmtId="49" fontId="1" fillId="10" borderId="9" xfId="0" applyNumberFormat="1" applyFont="1" applyFill="1" applyBorder="1"/>
    <xf numFmtId="49" fontId="12" fillId="10" borderId="8" xfId="0" applyNumberFormat="1" applyFont="1" applyFill="1" applyBorder="1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Border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" fillId="9" borderId="8" xfId="0" applyNumberFormat="1" applyFont="1" applyFill="1" applyBorder="1" applyAlignment="1">
      <alignment vertical="center"/>
    </xf>
    <xf numFmtId="49" fontId="1" fillId="10" borderId="0" xfId="0" applyNumberFormat="1" applyFont="1" applyFill="1" applyBorder="1"/>
    <xf numFmtId="49" fontId="14" fillId="9" borderId="15" xfId="0" applyNumberFormat="1" applyFont="1" applyFill="1" applyBorder="1" applyAlignment="1" applyProtection="1">
      <alignment vertical="center"/>
      <protection locked="0"/>
    </xf>
    <xf numFmtId="49" fontId="1" fillId="10" borderId="0" xfId="0" applyNumberFormat="1" applyFont="1" applyFill="1" applyBorder="1" applyAlignment="1">
      <alignment horizontal="center" wrapText="1"/>
    </xf>
    <xf numFmtId="49" fontId="12" fillId="9" borderId="9" xfId="0" applyNumberFormat="1" applyFont="1" applyFill="1" applyBorder="1" applyAlignment="1">
      <alignment horizontal="center" wrapText="1"/>
    </xf>
    <xf numFmtId="49" fontId="18" fillId="9" borderId="0" xfId="0" applyNumberFormat="1" applyFont="1" applyFill="1" applyBorder="1" applyAlignment="1">
      <alignment vertical="center" wrapText="1"/>
    </xf>
    <xf numFmtId="49" fontId="1" fillId="9" borderId="16" xfId="0" applyNumberFormat="1" applyFont="1" applyFill="1" applyBorder="1"/>
    <xf numFmtId="49" fontId="12" fillId="9" borderId="13" xfId="0" applyNumberFormat="1" applyFont="1" applyFill="1" applyBorder="1"/>
    <xf numFmtId="49" fontId="12" fillId="9" borderId="14" xfId="0" applyNumberFormat="1" applyFont="1" applyFill="1" applyBorder="1"/>
    <xf numFmtId="49" fontId="12" fillId="10" borderId="16" xfId="0" applyNumberFormat="1" applyFont="1" applyFill="1" applyBorder="1"/>
    <xf numFmtId="49" fontId="1" fillId="10" borderId="13" xfId="0" applyNumberFormat="1" applyFont="1" applyFill="1" applyBorder="1"/>
    <xf numFmtId="49" fontId="1" fillId="10" borderId="14" xfId="0" applyNumberFormat="1" applyFont="1" applyFill="1" applyBorder="1"/>
    <xf numFmtId="49" fontId="12" fillId="0" borderId="0" xfId="0" applyNumberFormat="1" applyFont="1" applyFill="1" applyBorder="1"/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  <xf numFmtId="164" fontId="22" fillId="0" borderId="0" xfId="0" applyNumberFormat="1" applyFont="1" applyAlignment="1">
      <alignment horizontal="left"/>
    </xf>
    <xf numFmtId="164" fontId="23" fillId="0" borderId="0" xfId="0" applyNumberFormat="1" applyFont="1" applyAlignment="1">
      <alignment horizontal="right"/>
    </xf>
    <xf numFmtId="164" fontId="0" fillId="0" borderId="17" xfId="0" applyNumberFormat="1" applyFont="1" applyBorder="1"/>
    <xf numFmtId="164" fontId="22" fillId="11" borderId="0" xfId="0" applyNumberFormat="1" applyFont="1" applyFill="1" applyAlignment="1">
      <alignment horizontal="left"/>
    </xf>
    <xf numFmtId="164" fontId="22" fillId="11" borderId="0" xfId="0" applyNumberFormat="1" applyFont="1" applyFill="1" applyAlignment="1">
      <alignment horizontal="right"/>
    </xf>
    <xf numFmtId="164" fontId="24" fillId="0" borderId="24" xfId="0" applyNumberFormat="1" applyFont="1" applyBorder="1" applyAlignment="1">
      <alignment horizontal="left"/>
    </xf>
    <xf numFmtId="172" fontId="22" fillId="0" borderId="24" xfId="0" applyNumberFormat="1" applyFont="1" applyBorder="1" applyAlignment="1">
      <alignment horizontal="right"/>
    </xf>
    <xf numFmtId="165" fontId="25" fillId="0" borderId="0" xfId="0" applyNumberFormat="1" applyFont="1"/>
    <xf numFmtId="164" fontId="25" fillId="0" borderId="0" xfId="0" applyNumberFormat="1" applyFont="1"/>
    <xf numFmtId="164" fontId="26" fillId="0" borderId="17" xfId="0" applyNumberFormat="1" applyFont="1" applyBorder="1"/>
    <xf numFmtId="165" fontId="26" fillId="0" borderId="17" xfId="0" applyNumberFormat="1" applyFont="1" applyBorder="1"/>
    <xf numFmtId="164" fontId="0" fillId="0" borderId="0" xfId="0" applyNumberFormat="1" applyFont="1" applyAlignment="1">
      <alignment horizontal="right"/>
    </xf>
    <xf numFmtId="166" fontId="25" fillId="0" borderId="20" xfId="0" applyNumberFormat="1" applyFont="1" applyBorder="1" applyAlignment="1">
      <alignment horizontal="center"/>
    </xf>
    <xf numFmtId="167" fontId="0" fillId="0" borderId="0" xfId="0" applyNumberFormat="1" applyFont="1"/>
    <xf numFmtId="164" fontId="26" fillId="11" borderId="0" xfId="0" applyNumberFormat="1" applyFont="1" applyFill="1"/>
    <xf numFmtId="164" fontId="26" fillId="12" borderId="0" xfId="0" applyNumberFormat="1" applyFont="1" applyFill="1"/>
    <xf numFmtId="165" fontId="25" fillId="0" borderId="17" xfId="0" applyNumberFormat="1" applyFont="1" applyBorder="1"/>
    <xf numFmtId="165" fontId="0" fillId="0" borderId="17" xfId="0" applyNumberFormat="1" applyFont="1" applyBorder="1"/>
    <xf numFmtId="166" fontId="27" fillId="0" borderId="0" xfId="0" applyNumberFormat="1" applyFont="1"/>
    <xf numFmtId="166" fontId="26" fillId="0" borderId="17" xfId="0" applyNumberFormat="1" applyFont="1" applyBorder="1"/>
    <xf numFmtId="165" fontId="0" fillId="0" borderId="0" xfId="0" applyNumberFormat="1" applyFont="1"/>
    <xf numFmtId="164" fontId="26" fillId="0" borderId="0" xfId="0" applyNumberFormat="1" applyFont="1"/>
    <xf numFmtId="166" fontId="27" fillId="0" borderId="17" xfId="0" applyNumberFormat="1" applyFont="1" applyBorder="1"/>
    <xf numFmtId="175" fontId="27" fillId="0" borderId="0" xfId="0" applyNumberFormat="1" applyFont="1"/>
    <xf numFmtId="164" fontId="22" fillId="12" borderId="0" xfId="0" applyNumberFormat="1" applyFont="1" applyFill="1"/>
    <xf numFmtId="164" fontId="27" fillId="0" borderId="17" xfId="0" applyNumberFormat="1" applyFont="1" applyBorder="1"/>
    <xf numFmtId="176" fontId="27" fillId="0" borderId="0" xfId="0" applyNumberFormat="1" applyFont="1"/>
    <xf numFmtId="165" fontId="25" fillId="0" borderId="0" xfId="0" applyNumberFormat="1" applyFont="1" applyAlignment="1">
      <alignment horizontal="right"/>
    </xf>
    <xf numFmtId="166" fontId="0" fillId="0" borderId="0" xfId="0" applyNumberFormat="1" applyFont="1" applyAlignment="1">
      <alignment horizontal="right"/>
    </xf>
    <xf numFmtId="164" fontId="24" fillId="0" borderId="0" xfId="0" applyNumberFormat="1" applyFont="1"/>
    <xf numFmtId="165" fontId="27" fillId="0" borderId="0" xfId="0" applyNumberFormat="1" applyFont="1" applyAlignment="1">
      <alignment horizontal="right"/>
    </xf>
    <xf numFmtId="164" fontId="26" fillId="13" borderId="21" xfId="0" applyNumberFormat="1" applyFont="1" applyFill="1" applyBorder="1"/>
    <xf numFmtId="164" fontId="26" fillId="13" borderId="22" xfId="0" applyNumberFormat="1" applyFont="1" applyFill="1" applyBorder="1"/>
    <xf numFmtId="168" fontId="26" fillId="13" borderId="23" xfId="0" applyNumberFormat="1" applyFont="1" applyFill="1" applyBorder="1"/>
    <xf numFmtId="165" fontId="26" fillId="0" borderId="17" xfId="0" applyNumberFormat="1" applyFont="1" applyBorder="1" applyAlignment="1">
      <alignment horizontal="right"/>
    </xf>
    <xf numFmtId="166" fontId="26" fillId="0" borderId="17" xfId="0" applyNumberFormat="1" applyFont="1" applyBorder="1" applyAlignment="1">
      <alignment horizontal="right"/>
    </xf>
    <xf numFmtId="164" fontId="0" fillId="13" borderId="22" xfId="0" applyNumberFormat="1" applyFont="1" applyFill="1" applyBorder="1"/>
    <xf numFmtId="166" fontId="26" fillId="13" borderId="23" xfId="0" applyNumberFormat="1" applyFont="1" applyFill="1" applyBorder="1"/>
    <xf numFmtId="164" fontId="0" fillId="0" borderId="0" xfId="0" applyNumberFormat="1" applyFont="1" applyAlignment="1">
      <alignment horizontal="left"/>
    </xf>
    <xf numFmtId="166" fontId="0" fillId="0" borderId="0" xfId="0" applyNumberFormat="1" applyFont="1"/>
    <xf numFmtId="164" fontId="0" fillId="0" borderId="19" xfId="0" applyNumberFormat="1" applyFont="1" applyBorder="1"/>
    <xf numFmtId="164" fontId="0" fillId="0" borderId="18" xfId="0" applyNumberFormat="1" applyFont="1" applyBorder="1"/>
    <xf numFmtId="164" fontId="24" fillId="0" borderId="0" xfId="0" applyNumberFormat="1" applyFont="1" applyAlignment="1">
      <alignment horizontal="right" vertical="center"/>
    </xf>
    <xf numFmtId="164" fontId="23" fillId="9" borderId="0" xfId="0" applyNumberFormat="1" applyFont="1" applyFill="1" applyAlignment="1">
      <alignment horizontal="right" vertical="center"/>
    </xf>
    <xf numFmtId="164" fontId="24" fillId="0" borderId="17" xfId="0" applyNumberFormat="1" applyFont="1" applyBorder="1" applyAlignment="1">
      <alignment horizontal="right" vertical="center"/>
    </xf>
    <xf numFmtId="164" fontId="27" fillId="0" borderId="17" xfId="0" applyNumberFormat="1" applyFont="1" applyBorder="1" applyAlignment="1">
      <alignment horizontal="right" vertical="center"/>
    </xf>
    <xf numFmtId="164" fontId="24" fillId="0" borderId="17" xfId="0" applyNumberFormat="1" applyFont="1" applyBorder="1" applyAlignment="1">
      <alignment horizontal="left" vertical="center"/>
    </xf>
    <xf numFmtId="168" fontId="27" fillId="0" borderId="17" xfId="0" applyNumberFormat="1" applyFont="1" applyBorder="1" applyAlignment="1">
      <alignment horizontal="right" vertical="center"/>
    </xf>
    <xf numFmtId="169" fontId="27" fillId="13" borderId="20" xfId="0" applyNumberFormat="1" applyFont="1" applyFill="1" applyBorder="1" applyAlignment="1">
      <alignment horizontal="center" vertical="center"/>
    </xf>
    <xf numFmtId="164" fontId="27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horizontal="left" vertical="center"/>
    </xf>
    <xf numFmtId="170" fontId="27" fillId="0" borderId="0" xfId="0" applyNumberFormat="1" applyFont="1" applyAlignment="1">
      <alignment horizontal="right" vertical="center"/>
    </xf>
    <xf numFmtId="164" fontId="22" fillId="11" borderId="0" xfId="0" applyNumberFormat="1" applyFont="1" applyFill="1" applyAlignment="1">
      <alignment horizontal="right" vertical="center"/>
    </xf>
    <xf numFmtId="164" fontId="22" fillId="0" borderId="17" xfId="0" applyNumberFormat="1" applyFont="1" applyBorder="1" applyAlignment="1">
      <alignment horizontal="right" vertical="center"/>
    </xf>
    <xf numFmtId="164" fontId="24" fillId="0" borderId="19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5" fontId="27" fillId="0" borderId="0" xfId="0" applyNumberFormat="1" applyFont="1" applyAlignment="1">
      <alignment horizontal="right" vertical="center"/>
    </xf>
    <xf numFmtId="165" fontId="27" fillId="0" borderId="19" xfId="0" applyNumberFormat="1" applyFont="1" applyBorder="1" applyAlignment="1">
      <alignment horizontal="right" vertical="center"/>
    </xf>
    <xf numFmtId="165" fontId="24" fillId="0" borderId="0" xfId="0" applyNumberFormat="1" applyFont="1" applyAlignment="1">
      <alignment horizontal="right" vertical="center"/>
    </xf>
    <xf numFmtId="164" fontId="27" fillId="0" borderId="19" xfId="0" applyNumberFormat="1" applyFont="1" applyBorder="1" applyAlignment="1">
      <alignment horizontal="right" vertical="center"/>
    </xf>
    <xf numFmtId="164" fontId="26" fillId="0" borderId="17" xfId="0" quotePrefix="1" applyNumberFormat="1" applyFont="1" applyBorder="1" applyAlignment="1">
      <alignment horizontal="right" vertical="center"/>
    </xf>
    <xf numFmtId="165" fontId="22" fillId="0" borderId="17" xfId="0" applyNumberFormat="1" applyFont="1" applyBorder="1" applyAlignment="1">
      <alignment horizontal="right" vertical="center"/>
    </xf>
    <xf numFmtId="165" fontId="22" fillId="0" borderId="18" xfId="0" applyNumberFormat="1" applyFont="1" applyBorder="1" applyAlignment="1">
      <alignment horizontal="right" vertical="center"/>
    </xf>
    <xf numFmtId="164" fontId="26" fillId="0" borderId="17" xfId="0" applyNumberFormat="1" applyFont="1" applyBorder="1" applyAlignment="1">
      <alignment horizontal="right" vertical="center"/>
    </xf>
    <xf numFmtId="164" fontId="26" fillId="12" borderId="0" xfId="0" applyNumberFormat="1" applyFont="1" applyFill="1" applyAlignment="1">
      <alignment horizontal="right" vertical="center"/>
    </xf>
    <xf numFmtId="164" fontId="22" fillId="12" borderId="0" xfId="0" applyNumberFormat="1" applyFont="1" applyFill="1" applyAlignment="1">
      <alignment horizontal="right" vertical="center"/>
    </xf>
    <xf numFmtId="164" fontId="28" fillId="12" borderId="0" xfId="0" applyNumberFormat="1" applyFont="1" applyFill="1" applyAlignment="1">
      <alignment horizontal="right" vertical="center"/>
    </xf>
    <xf numFmtId="165" fontId="24" fillId="0" borderId="17" xfId="0" applyNumberFormat="1" applyFont="1" applyBorder="1" applyAlignment="1">
      <alignment horizontal="right" vertical="center"/>
    </xf>
    <xf numFmtId="165" fontId="24" fillId="0" borderId="18" xfId="0" applyNumberFormat="1" applyFont="1" applyBorder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164" fontId="0" fillId="0" borderId="17" xfId="0" applyNumberFormat="1" applyFont="1" applyBorder="1" applyAlignment="1">
      <alignment horizontal="right" vertical="center"/>
    </xf>
    <xf numFmtId="166" fontId="24" fillId="0" borderId="17" xfId="0" applyNumberFormat="1" applyFont="1" applyBorder="1" applyAlignment="1">
      <alignment horizontal="right" vertical="center"/>
    </xf>
    <xf numFmtId="166" fontId="24" fillId="0" borderId="18" xfId="0" applyNumberFormat="1" applyFont="1" applyBorder="1" applyAlignment="1">
      <alignment horizontal="right" vertical="center"/>
    </xf>
    <xf numFmtId="166" fontId="27" fillId="0" borderId="17" xfId="0" applyNumberFormat="1" applyFont="1" applyBorder="1" applyAlignment="1">
      <alignment horizontal="right" vertical="center"/>
    </xf>
    <xf numFmtId="166" fontId="24" fillId="0" borderId="0" xfId="0" applyNumberFormat="1" applyFont="1" applyAlignment="1">
      <alignment horizontal="right" vertical="center"/>
    </xf>
    <xf numFmtId="166" fontId="24" fillId="0" borderId="19" xfId="0" applyNumberFormat="1" applyFont="1" applyBorder="1" applyAlignment="1">
      <alignment horizontal="right" vertical="center"/>
    </xf>
    <xf numFmtId="166" fontId="27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64" fontId="22" fillId="0" borderId="19" xfId="0" applyNumberFormat="1" applyFont="1" applyBorder="1" applyAlignment="1">
      <alignment horizontal="right" vertical="center"/>
    </xf>
    <xf numFmtId="165" fontId="24" fillId="0" borderId="19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horizontal="right" vertical="center"/>
    </xf>
    <xf numFmtId="173" fontId="27" fillId="0" borderId="17" xfId="0" applyNumberFormat="1" applyFont="1" applyBorder="1" applyAlignment="1">
      <alignment horizontal="right" vertical="center"/>
    </xf>
    <xf numFmtId="173" fontId="24" fillId="0" borderId="0" xfId="0" applyNumberFormat="1" applyFont="1" applyAlignment="1">
      <alignment horizontal="right" vertical="center"/>
    </xf>
    <xf numFmtId="173" fontId="24" fillId="0" borderId="19" xfId="0" applyNumberFormat="1" applyFont="1" applyBorder="1" applyAlignment="1">
      <alignment horizontal="right" vertical="center"/>
    </xf>
    <xf numFmtId="173" fontId="27" fillId="0" borderId="0" xfId="0" applyNumberFormat="1" applyFont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4" fontId="24" fillId="0" borderId="18" xfId="0" applyNumberFormat="1" applyFont="1" applyBorder="1" applyAlignment="1">
      <alignment horizontal="right" vertical="center"/>
    </xf>
    <xf numFmtId="165" fontId="27" fillId="0" borderId="20" xfId="0" applyNumberFormat="1" applyFont="1" applyBorder="1" applyAlignment="1">
      <alignment horizontal="center" vertical="center"/>
    </xf>
    <xf numFmtId="164" fontId="26" fillId="0" borderId="18" xfId="0" applyNumberFormat="1" applyFont="1" applyBorder="1"/>
    <xf numFmtId="164" fontId="22" fillId="0" borderId="24" xfId="0" applyNumberFormat="1" applyFont="1" applyBorder="1" applyAlignment="1">
      <alignment horizontal="right" vertical="center"/>
    </xf>
    <xf numFmtId="171" fontId="22" fillId="0" borderId="24" xfId="0" applyNumberFormat="1" applyFont="1" applyBorder="1" applyAlignment="1">
      <alignment horizontal="right" vertical="center"/>
    </xf>
    <xf numFmtId="171" fontId="22" fillId="0" borderId="25" xfId="0" applyNumberFormat="1" applyFont="1" applyBorder="1" applyAlignment="1">
      <alignment horizontal="right" vertical="center"/>
    </xf>
    <xf numFmtId="172" fontId="22" fillId="0" borderId="24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horizontal="right" vertical="center"/>
    </xf>
    <xf numFmtId="49" fontId="24" fillId="0" borderId="0" xfId="0" applyNumberFormat="1" applyFont="1" applyBorder="1" applyAlignment="1">
      <alignment horizontal="center" vertical="center"/>
    </xf>
    <xf numFmtId="166" fontId="27" fillId="0" borderId="20" xfId="0" applyNumberFormat="1" applyFont="1" applyBorder="1" applyAlignment="1">
      <alignment horizontal="center" vertical="center"/>
    </xf>
    <xf numFmtId="174" fontId="27" fillId="0" borderId="2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2" fillId="9" borderId="0" xfId="0" applyNumberFormat="1" applyFont="1" applyFill="1" applyAlignment="1">
      <alignment horizontal="left" vertical="center"/>
    </xf>
    <xf numFmtId="164" fontId="22" fillId="11" borderId="0" xfId="0" applyNumberFormat="1" applyFont="1" applyFill="1" applyAlignment="1">
      <alignment horizontal="left" vertical="center"/>
    </xf>
    <xf numFmtId="164" fontId="24" fillId="0" borderId="24" xfId="0" applyNumberFormat="1" applyFont="1" applyBorder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164" fontId="26" fillId="0" borderId="17" xfId="0" quotePrefix="1" applyNumberFormat="1" applyFont="1" applyBorder="1" applyAlignment="1">
      <alignment horizontal="left" vertical="center"/>
    </xf>
    <xf numFmtId="164" fontId="26" fillId="0" borderId="17" xfId="0" applyNumberFormat="1" applyFont="1" applyBorder="1" applyAlignment="1">
      <alignment horizontal="left" vertical="center"/>
    </xf>
    <xf numFmtId="164" fontId="26" fillId="12" borderId="0" xfId="0" applyNumberFormat="1" applyFont="1" applyFill="1" applyAlignment="1">
      <alignment horizontal="left" vertical="center"/>
    </xf>
    <xf numFmtId="164" fontId="22" fillId="0" borderId="17" xfId="0" applyNumberFormat="1" applyFont="1" applyBorder="1" applyAlignment="1">
      <alignment horizontal="left" vertical="center"/>
    </xf>
    <xf numFmtId="164" fontId="22" fillId="12" borderId="0" xfId="0" applyNumberFormat="1" applyFont="1" applyFill="1" applyAlignment="1">
      <alignment horizontal="left" vertical="center"/>
    </xf>
    <xf numFmtId="164" fontId="0" fillId="0" borderId="17" xfId="0" applyNumberFormat="1" applyFont="1" applyBorder="1" applyAlignment="1">
      <alignment horizontal="left" vertical="center"/>
    </xf>
    <xf numFmtId="164" fontId="26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horizontal="left" vertical="center" indent="1"/>
    </xf>
    <xf numFmtId="164" fontId="29" fillId="0" borderId="0" xfId="0" applyNumberFormat="1" applyFont="1" applyAlignment="1">
      <alignment horizontal="left" vertical="center"/>
    </xf>
    <xf numFmtId="164" fontId="24" fillId="0" borderId="17" xfId="0" applyNumberFormat="1" applyFont="1" applyBorder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4" fontId="22" fillId="0" borderId="25" xfId="0" applyNumberFormat="1" applyFont="1" applyBorder="1" applyAlignment="1">
      <alignment horizontal="right" vertical="center"/>
    </xf>
    <xf numFmtId="49" fontId="19" fillId="9" borderId="0" xfId="0" applyNumberFormat="1" applyFont="1" applyFill="1" applyBorder="1" applyAlignment="1">
      <alignment horizontal="center" vertical="center" wrapText="1"/>
    </xf>
    <xf numFmtId="49" fontId="21" fillId="9" borderId="0" xfId="0" applyNumberFormat="1" applyFont="1" applyFill="1" applyBorder="1" applyAlignment="1">
      <alignment horizontal="center" vertical="center"/>
    </xf>
    <xf numFmtId="49" fontId="13" fillId="9" borderId="10" xfId="0" applyNumberFormat="1" applyFont="1" applyFill="1" applyBorder="1" applyAlignment="1" applyProtection="1">
      <alignment horizontal="center" vertical="center"/>
    </xf>
    <xf numFmtId="49" fontId="13" fillId="9" borderId="6" xfId="0" applyNumberFormat="1" applyFont="1" applyFill="1" applyBorder="1" applyAlignment="1" applyProtection="1">
      <alignment horizontal="center" vertical="center"/>
    </xf>
    <xf numFmtId="49" fontId="13" fillId="9" borderId="7" xfId="0" applyNumberFormat="1" applyFont="1" applyFill="1" applyBorder="1" applyAlignment="1" applyProtection="1">
      <alignment horizontal="center" vertical="center"/>
    </xf>
    <xf numFmtId="49" fontId="13" fillId="9" borderId="11" xfId="0" applyNumberFormat="1" applyFont="1" applyFill="1" applyBorder="1" applyAlignment="1" applyProtection="1">
      <alignment horizontal="center" vertical="center"/>
    </xf>
    <xf numFmtId="49" fontId="13" fillId="9" borderId="0" xfId="0" applyNumberFormat="1" applyFont="1" applyFill="1" applyBorder="1" applyAlignment="1" applyProtection="1">
      <alignment horizontal="center" vertical="center"/>
    </xf>
    <xf numFmtId="49" fontId="13" fillId="9" borderId="9" xfId="0" applyNumberFormat="1" applyFont="1" applyFill="1" applyBorder="1" applyAlignment="1" applyProtection="1">
      <alignment horizontal="center" vertical="center"/>
    </xf>
    <xf numFmtId="49" fontId="13" fillId="9" borderId="12" xfId="0" applyNumberFormat="1" applyFont="1" applyFill="1" applyBorder="1" applyAlignment="1" applyProtection="1">
      <alignment horizontal="center" vertical="center"/>
    </xf>
    <xf numFmtId="49" fontId="13" fillId="9" borderId="13" xfId="0" applyNumberFormat="1" applyFont="1" applyFill="1" applyBorder="1" applyAlignment="1" applyProtection="1">
      <alignment horizontal="center" vertical="center"/>
    </xf>
    <xf numFmtId="49" fontId="13" fillId="9" borderId="14" xfId="0" applyNumberFormat="1" applyFont="1" applyFill="1" applyBorder="1" applyAlignment="1" applyProtection="1">
      <alignment horizontal="center" vertical="center"/>
    </xf>
    <xf numFmtId="49" fontId="15" fillId="9" borderId="0" xfId="0" applyNumberFormat="1" applyFont="1" applyFill="1" applyBorder="1" applyAlignment="1" applyProtection="1">
      <alignment horizontal="left" vertical="center"/>
      <protection locked="0"/>
    </xf>
    <xf numFmtId="49" fontId="16" fillId="10" borderId="5" xfId="11" applyNumberFormat="1" applyFont="1" applyFill="1" applyBorder="1" applyAlignment="1" applyProtection="1">
      <alignment horizontal="center" vertical="center"/>
      <protection locked="0"/>
    </xf>
    <xf numFmtId="49" fontId="16" fillId="10" borderId="6" xfId="11" applyNumberFormat="1" applyFont="1" applyFill="1" applyBorder="1" applyAlignment="1" applyProtection="1">
      <alignment horizontal="center" vertical="center"/>
      <protection locked="0"/>
    </xf>
    <xf numFmtId="49" fontId="16" fillId="10" borderId="7" xfId="11" applyNumberFormat="1" applyFont="1" applyFill="1" applyBorder="1" applyAlignment="1" applyProtection="1">
      <alignment horizontal="center" vertical="center"/>
      <protection locked="0"/>
    </xf>
    <xf numFmtId="49" fontId="16" fillId="10" borderId="8" xfId="11" applyNumberFormat="1" applyFont="1" applyFill="1" applyBorder="1" applyAlignment="1" applyProtection="1">
      <alignment horizontal="center" vertical="center"/>
      <protection locked="0"/>
    </xf>
    <xf numFmtId="49" fontId="16" fillId="10" borderId="0" xfId="11" applyNumberFormat="1" applyFont="1" applyFill="1" applyBorder="1" applyAlignment="1" applyProtection="1">
      <alignment horizontal="center" vertical="center"/>
      <protection locked="0"/>
    </xf>
    <xf numFmtId="49" fontId="16" fillId="10" borderId="9" xfId="11" applyNumberFormat="1" applyFont="1" applyFill="1" applyBorder="1" applyAlignment="1" applyProtection="1">
      <alignment horizontal="center" vertical="center"/>
      <protection locked="0"/>
    </xf>
    <xf numFmtId="49" fontId="16" fillId="10" borderId="16" xfId="11" applyNumberFormat="1" applyFont="1" applyFill="1" applyBorder="1" applyAlignment="1" applyProtection="1">
      <alignment horizontal="center" vertical="center"/>
      <protection locked="0"/>
    </xf>
    <xf numFmtId="49" fontId="16" fillId="10" borderId="13" xfId="11" applyNumberFormat="1" applyFont="1" applyFill="1" applyBorder="1" applyAlignment="1" applyProtection="1">
      <alignment horizontal="center" vertical="center"/>
      <protection locked="0"/>
    </xf>
    <xf numFmtId="49" fontId="16" fillId="10" borderId="14" xfId="11" applyNumberFormat="1" applyFont="1" applyFill="1" applyBorder="1" applyAlignment="1" applyProtection="1">
      <alignment horizontal="center" vertical="center"/>
      <protection locked="0"/>
    </xf>
    <xf numFmtId="166" fontId="24" fillId="0" borderId="0" xfId="0" applyNumberFormat="1" applyFont="1"/>
  </cellXfs>
  <cellStyles count="12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hidden="1"/>
    <cellStyle name="Hyperlink" xfId="11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43EA38FB-4AF4-42CB-B269-251470BD1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sti/Downloads/WSP-Amazon-Valuation-Model_v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SM"/>
      <sheetName val="DCF"/>
    </sheetNames>
    <sheetDataSet>
      <sheetData sheetId="0"/>
      <sheetData sheetId="1">
        <row r="3">
          <cell r="I3">
            <v>102.31</v>
          </cell>
        </row>
        <row r="45">
          <cell r="H45">
            <v>96049</v>
          </cell>
        </row>
        <row r="53">
          <cell r="H53">
            <v>0</v>
          </cell>
        </row>
        <row r="57">
          <cell r="H57">
            <v>116395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mazon-valuation-mode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6"/>
      <c r="O2" s="6"/>
      <c r="P2" s="6"/>
      <c r="Q2" s="6"/>
      <c r="R2" s="6"/>
      <c r="S2" s="6"/>
      <c r="T2" s="6"/>
      <c r="U2" s="6"/>
      <c r="V2" s="7"/>
    </row>
    <row r="3" spans="2:22" ht="13.2" customHeight="1" x14ac:dyDescent="0.25">
      <c r="B3" s="8"/>
      <c r="C3" s="9"/>
      <c r="D3" s="29"/>
      <c r="E3" s="9"/>
      <c r="F3" s="9"/>
      <c r="G3" s="9"/>
      <c r="H3" s="9"/>
      <c r="I3" s="9"/>
      <c r="J3" s="9"/>
      <c r="K3" s="9"/>
      <c r="L3" s="10"/>
      <c r="M3" s="11"/>
      <c r="N3" s="150" t="s">
        <v>0</v>
      </c>
      <c r="O3" s="151"/>
      <c r="P3" s="151"/>
      <c r="Q3" s="151"/>
      <c r="R3" s="151"/>
      <c r="S3" s="151"/>
      <c r="T3" s="151"/>
      <c r="U3" s="152"/>
      <c r="V3" s="12"/>
    </row>
    <row r="4" spans="2:22" ht="13.2" customHeight="1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10"/>
      <c r="M4" s="11"/>
      <c r="N4" s="153"/>
      <c r="O4" s="154"/>
      <c r="P4" s="154"/>
      <c r="Q4" s="154"/>
      <c r="R4" s="154"/>
      <c r="S4" s="154"/>
      <c r="T4" s="154"/>
      <c r="U4" s="155"/>
      <c r="V4" s="12"/>
    </row>
    <row r="5" spans="2:22" ht="13.2" customHeight="1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3"/>
      <c r="N5" s="153"/>
      <c r="O5" s="154"/>
      <c r="P5" s="154"/>
      <c r="Q5" s="154"/>
      <c r="R5" s="154"/>
      <c r="S5" s="154"/>
      <c r="T5" s="154"/>
      <c r="U5" s="155"/>
      <c r="V5" s="12"/>
    </row>
    <row r="6" spans="2:22" ht="13.2" customHeight="1" x14ac:dyDescent="0.25">
      <c r="B6" s="14"/>
      <c r="C6" s="15"/>
      <c r="D6" s="15"/>
      <c r="E6" s="15"/>
      <c r="F6" s="15"/>
      <c r="G6" s="15"/>
      <c r="H6" s="15"/>
      <c r="I6" s="15"/>
      <c r="J6" s="15"/>
      <c r="K6" s="15"/>
      <c r="L6" s="16"/>
      <c r="M6" s="13"/>
      <c r="N6" s="156"/>
      <c r="O6" s="157"/>
      <c r="P6" s="157"/>
      <c r="Q6" s="157"/>
      <c r="R6" s="157"/>
      <c r="S6" s="157"/>
      <c r="T6" s="157"/>
      <c r="U6" s="158"/>
      <c r="V6" s="12"/>
    </row>
    <row r="7" spans="2:22" ht="13.2" customHeight="1" x14ac:dyDescent="0.25">
      <c r="B7" s="17"/>
      <c r="C7" s="159" t="s">
        <v>18</v>
      </c>
      <c r="D7" s="159"/>
      <c r="E7" s="159"/>
      <c r="F7" s="159"/>
      <c r="G7" s="159"/>
      <c r="H7" s="159"/>
      <c r="I7" s="159"/>
      <c r="J7" s="159"/>
      <c r="K7" s="159"/>
      <c r="L7" s="16"/>
      <c r="M7" s="13"/>
      <c r="N7" s="18"/>
      <c r="O7" s="18"/>
      <c r="P7" s="18"/>
      <c r="Q7" s="18"/>
      <c r="R7" s="18"/>
      <c r="S7" s="18"/>
      <c r="T7" s="18"/>
      <c r="U7" s="18"/>
      <c r="V7" s="12"/>
    </row>
    <row r="8" spans="2:22" ht="13.2" customHeight="1" thickBot="1" x14ac:dyDescent="0.3">
      <c r="B8" s="17"/>
      <c r="C8" s="159"/>
      <c r="D8" s="159"/>
      <c r="E8" s="159"/>
      <c r="F8" s="159"/>
      <c r="G8" s="159"/>
      <c r="H8" s="159"/>
      <c r="I8" s="159"/>
      <c r="J8" s="159"/>
      <c r="K8" s="159"/>
      <c r="L8" s="16"/>
      <c r="M8" s="13"/>
      <c r="N8" s="150" t="s">
        <v>1</v>
      </c>
      <c r="O8" s="151"/>
      <c r="P8" s="151"/>
      <c r="Q8" s="151"/>
      <c r="R8" s="151"/>
      <c r="S8" s="151"/>
      <c r="T8" s="151"/>
      <c r="U8" s="152"/>
      <c r="V8" s="12"/>
    </row>
    <row r="9" spans="2:22" ht="13.2" customHeight="1" x14ac:dyDescent="0.25">
      <c r="B9" s="17"/>
      <c r="C9" s="19"/>
      <c r="D9" s="19"/>
      <c r="E9" s="19"/>
      <c r="F9" s="19"/>
      <c r="G9" s="19"/>
      <c r="H9" s="19"/>
      <c r="I9" s="19"/>
      <c r="J9" s="19"/>
      <c r="K9" s="19"/>
      <c r="L9" s="16"/>
      <c r="M9" s="13"/>
      <c r="N9" s="153"/>
      <c r="O9" s="154"/>
      <c r="P9" s="154"/>
      <c r="Q9" s="154"/>
      <c r="R9" s="154"/>
      <c r="S9" s="154"/>
      <c r="T9" s="154"/>
      <c r="U9" s="155"/>
      <c r="V9" s="12"/>
    </row>
    <row r="10" spans="2:22" ht="13.2" customHeight="1" x14ac:dyDescent="0.25">
      <c r="B10" s="8"/>
      <c r="C10" s="9"/>
      <c r="D10" s="9"/>
      <c r="E10" s="9"/>
      <c r="F10" s="9"/>
      <c r="G10" s="9"/>
      <c r="H10" s="9"/>
      <c r="I10" s="9"/>
      <c r="J10" s="9"/>
      <c r="K10" s="9"/>
      <c r="L10" s="10"/>
      <c r="M10" s="13"/>
      <c r="N10" s="153"/>
      <c r="O10" s="154"/>
      <c r="P10" s="154"/>
      <c r="Q10" s="154"/>
      <c r="R10" s="154"/>
      <c r="S10" s="154"/>
      <c r="T10" s="154"/>
      <c r="U10" s="155"/>
      <c r="V10" s="12"/>
    </row>
    <row r="11" spans="2:22" ht="13.2" customHeight="1" x14ac:dyDescent="0.25">
      <c r="B11" s="8"/>
      <c r="C11" s="160" t="s">
        <v>19</v>
      </c>
      <c r="D11" s="161"/>
      <c r="E11" s="161"/>
      <c r="F11" s="161"/>
      <c r="G11" s="161"/>
      <c r="H11" s="161"/>
      <c r="I11" s="161"/>
      <c r="J11" s="161"/>
      <c r="K11" s="162"/>
      <c r="L11" s="10"/>
      <c r="M11" s="13"/>
      <c r="N11" s="156"/>
      <c r="O11" s="157"/>
      <c r="P11" s="157"/>
      <c r="Q11" s="157"/>
      <c r="R11" s="157"/>
      <c r="S11" s="157"/>
      <c r="T11" s="157"/>
      <c r="U11" s="158"/>
      <c r="V11" s="12"/>
    </row>
    <row r="12" spans="2:22" ht="13.2" customHeight="1" x14ac:dyDescent="0.25">
      <c r="B12" s="8"/>
      <c r="C12" s="163"/>
      <c r="D12" s="164"/>
      <c r="E12" s="164"/>
      <c r="F12" s="164"/>
      <c r="G12" s="164"/>
      <c r="H12" s="164"/>
      <c r="I12" s="164"/>
      <c r="J12" s="164"/>
      <c r="K12" s="165"/>
      <c r="L12" s="10"/>
      <c r="M12" s="13"/>
      <c r="N12" s="18"/>
      <c r="O12" s="18"/>
      <c r="P12" s="18"/>
      <c r="Q12" s="18"/>
      <c r="R12" s="18"/>
      <c r="S12" s="18"/>
      <c r="T12" s="20"/>
      <c r="U12" s="20"/>
      <c r="V12" s="12"/>
    </row>
    <row r="13" spans="2:22" ht="13.2" customHeight="1" x14ac:dyDescent="0.25">
      <c r="B13" s="8"/>
      <c r="C13" s="163"/>
      <c r="D13" s="164"/>
      <c r="E13" s="164"/>
      <c r="F13" s="164"/>
      <c r="G13" s="164"/>
      <c r="H13" s="164"/>
      <c r="I13" s="164"/>
      <c r="J13" s="164"/>
      <c r="K13" s="165"/>
      <c r="L13" s="10"/>
      <c r="M13" s="13"/>
      <c r="N13" s="150" t="s">
        <v>2</v>
      </c>
      <c r="O13" s="151"/>
      <c r="P13" s="151"/>
      <c r="Q13" s="151"/>
      <c r="R13" s="151"/>
      <c r="S13" s="151"/>
      <c r="T13" s="151"/>
      <c r="U13" s="152"/>
      <c r="V13" s="12"/>
    </row>
    <row r="14" spans="2:22" ht="13.2" customHeight="1" x14ac:dyDescent="0.25">
      <c r="B14" s="8"/>
      <c r="C14" s="163"/>
      <c r="D14" s="164"/>
      <c r="E14" s="164"/>
      <c r="F14" s="164"/>
      <c r="G14" s="164"/>
      <c r="H14" s="164"/>
      <c r="I14" s="164"/>
      <c r="J14" s="164"/>
      <c r="K14" s="165"/>
      <c r="L14" s="21"/>
      <c r="M14" s="13"/>
      <c r="N14" s="153"/>
      <c r="O14" s="154"/>
      <c r="P14" s="154"/>
      <c r="Q14" s="154"/>
      <c r="R14" s="154"/>
      <c r="S14" s="154"/>
      <c r="T14" s="154"/>
      <c r="U14" s="155"/>
      <c r="V14" s="12"/>
    </row>
    <row r="15" spans="2:22" ht="13.2" customHeight="1" x14ac:dyDescent="0.25">
      <c r="B15" s="8"/>
      <c r="C15" s="163"/>
      <c r="D15" s="164"/>
      <c r="E15" s="164"/>
      <c r="F15" s="164"/>
      <c r="G15" s="164"/>
      <c r="H15" s="164"/>
      <c r="I15" s="164"/>
      <c r="J15" s="164"/>
      <c r="K15" s="165"/>
      <c r="L15" s="10"/>
      <c r="M15" s="13"/>
      <c r="N15" s="153"/>
      <c r="O15" s="154"/>
      <c r="P15" s="154"/>
      <c r="Q15" s="154"/>
      <c r="R15" s="154"/>
      <c r="S15" s="154"/>
      <c r="T15" s="154"/>
      <c r="U15" s="155"/>
      <c r="V15" s="12"/>
    </row>
    <row r="16" spans="2:22" ht="13.2" customHeight="1" x14ac:dyDescent="0.25">
      <c r="B16" s="8"/>
      <c r="C16" s="166"/>
      <c r="D16" s="167"/>
      <c r="E16" s="167"/>
      <c r="F16" s="167"/>
      <c r="G16" s="167"/>
      <c r="H16" s="167"/>
      <c r="I16" s="167"/>
      <c r="J16" s="167"/>
      <c r="K16" s="168"/>
      <c r="L16" s="10"/>
      <c r="M16" s="13"/>
      <c r="N16" s="156"/>
      <c r="O16" s="157"/>
      <c r="P16" s="157"/>
      <c r="Q16" s="157"/>
      <c r="R16" s="157"/>
      <c r="S16" s="157"/>
      <c r="T16" s="157"/>
      <c r="U16" s="158"/>
      <c r="V16" s="12"/>
    </row>
    <row r="17" spans="2:22" ht="13.2" customHeight="1" x14ac:dyDescent="0.25">
      <c r="B17" s="8"/>
      <c r="C17" s="22"/>
      <c r="D17" s="22"/>
      <c r="E17" s="22"/>
      <c r="F17" s="22"/>
      <c r="G17" s="22"/>
      <c r="H17" s="22"/>
      <c r="I17" s="22"/>
      <c r="J17" s="22"/>
      <c r="K17" s="22"/>
      <c r="L17" s="10"/>
      <c r="M17" s="13"/>
      <c r="N17" s="18"/>
      <c r="O17" s="18"/>
      <c r="P17" s="18"/>
      <c r="Q17" s="18"/>
      <c r="R17" s="18"/>
      <c r="S17" s="18"/>
      <c r="T17" s="18"/>
      <c r="U17" s="18"/>
      <c r="V17" s="12"/>
    </row>
    <row r="18" spans="2:22" ht="13.2" customHeight="1" x14ac:dyDescent="0.25">
      <c r="B18" s="8"/>
      <c r="C18" s="148" t="s">
        <v>6</v>
      </c>
      <c r="D18" s="148"/>
      <c r="E18" s="148"/>
      <c r="F18" s="148"/>
      <c r="G18" s="148"/>
      <c r="H18" s="148"/>
      <c r="I18" s="148"/>
      <c r="J18" s="148"/>
      <c r="K18" s="148"/>
      <c r="L18" s="10"/>
      <c r="M18" s="13"/>
      <c r="N18" s="150" t="s">
        <v>3</v>
      </c>
      <c r="O18" s="151"/>
      <c r="P18" s="151"/>
      <c r="Q18" s="151"/>
      <c r="R18" s="151"/>
      <c r="S18" s="151"/>
      <c r="T18" s="151"/>
      <c r="U18" s="152"/>
      <c r="V18" s="12"/>
    </row>
    <row r="19" spans="2:22" ht="13.2" customHeight="1" x14ac:dyDescent="0.25">
      <c r="B19" s="8"/>
      <c r="C19" s="148"/>
      <c r="D19" s="148"/>
      <c r="E19" s="148"/>
      <c r="F19" s="148"/>
      <c r="G19" s="148"/>
      <c r="H19" s="148"/>
      <c r="I19" s="148"/>
      <c r="J19" s="148"/>
      <c r="K19" s="148"/>
      <c r="L19" s="10"/>
      <c r="M19" s="13"/>
      <c r="N19" s="153"/>
      <c r="O19" s="154"/>
      <c r="P19" s="154"/>
      <c r="Q19" s="154"/>
      <c r="R19" s="154"/>
      <c r="S19" s="154"/>
      <c r="T19" s="154"/>
      <c r="U19" s="155"/>
      <c r="V19" s="12"/>
    </row>
    <row r="20" spans="2:22" ht="13.2" customHeight="1" x14ac:dyDescent="0.25">
      <c r="B20" s="8"/>
      <c r="C20" s="148"/>
      <c r="D20" s="148"/>
      <c r="E20" s="148"/>
      <c r="F20" s="148"/>
      <c r="G20" s="148"/>
      <c r="H20" s="148"/>
      <c r="I20" s="148"/>
      <c r="J20" s="148"/>
      <c r="K20" s="148"/>
      <c r="L20" s="10"/>
      <c r="M20" s="13"/>
      <c r="N20" s="153"/>
      <c r="O20" s="154"/>
      <c r="P20" s="154"/>
      <c r="Q20" s="154"/>
      <c r="R20" s="154"/>
      <c r="S20" s="154"/>
      <c r="T20" s="154"/>
      <c r="U20" s="155"/>
      <c r="V20" s="12"/>
    </row>
    <row r="21" spans="2:22" ht="13.2" customHeight="1" x14ac:dyDescent="0.25">
      <c r="B21" s="8"/>
      <c r="C21" s="148"/>
      <c r="D21" s="148"/>
      <c r="E21" s="148"/>
      <c r="F21" s="148"/>
      <c r="G21" s="148"/>
      <c r="H21" s="148"/>
      <c r="I21" s="148"/>
      <c r="J21" s="148"/>
      <c r="K21" s="148"/>
      <c r="L21" s="10"/>
      <c r="M21" s="13"/>
      <c r="N21" s="156"/>
      <c r="O21" s="157"/>
      <c r="P21" s="157"/>
      <c r="Q21" s="157"/>
      <c r="R21" s="157"/>
      <c r="S21" s="157"/>
      <c r="T21" s="157"/>
      <c r="U21" s="158"/>
      <c r="V21" s="12"/>
    </row>
    <row r="22" spans="2:22" ht="13.2" customHeight="1" x14ac:dyDescent="0.25">
      <c r="B22" s="8"/>
      <c r="C22" s="148"/>
      <c r="D22" s="148"/>
      <c r="E22" s="148"/>
      <c r="F22" s="148"/>
      <c r="G22" s="148"/>
      <c r="H22" s="148"/>
      <c r="I22" s="148"/>
      <c r="J22" s="148"/>
      <c r="K22" s="148"/>
      <c r="L22" s="10"/>
      <c r="M22" s="13"/>
      <c r="N22" s="18"/>
      <c r="O22" s="18"/>
      <c r="P22" s="18"/>
      <c r="Q22" s="18"/>
      <c r="R22" s="18"/>
      <c r="S22" s="18"/>
      <c r="T22" s="18"/>
      <c r="U22" s="18"/>
      <c r="V22" s="12"/>
    </row>
    <row r="23" spans="2:22" ht="13.2" customHeight="1" x14ac:dyDescent="0.25">
      <c r="B23" s="8"/>
      <c r="C23" s="148"/>
      <c r="D23" s="148"/>
      <c r="E23" s="148"/>
      <c r="F23" s="148"/>
      <c r="G23" s="148"/>
      <c r="H23" s="148"/>
      <c r="I23" s="148"/>
      <c r="J23" s="148"/>
      <c r="K23" s="148"/>
      <c r="L23" s="10"/>
      <c r="M23" s="13"/>
      <c r="N23" s="150" t="s">
        <v>4</v>
      </c>
      <c r="O23" s="151"/>
      <c r="P23" s="151"/>
      <c r="Q23" s="151"/>
      <c r="R23" s="151"/>
      <c r="S23" s="151"/>
      <c r="T23" s="151"/>
      <c r="U23" s="152"/>
      <c r="V23" s="12"/>
    </row>
    <row r="24" spans="2:22" ht="13.2" customHeight="1" x14ac:dyDescent="0.25">
      <c r="B24" s="8"/>
      <c r="C24" s="149" t="s">
        <v>5</v>
      </c>
      <c r="D24" s="149"/>
      <c r="E24" s="149"/>
      <c r="F24" s="149"/>
      <c r="G24" s="149"/>
      <c r="H24" s="149"/>
      <c r="I24" s="149"/>
      <c r="J24" s="149"/>
      <c r="K24" s="149"/>
      <c r="L24" s="10"/>
      <c r="M24" s="13"/>
      <c r="N24" s="153"/>
      <c r="O24" s="154"/>
      <c r="P24" s="154"/>
      <c r="Q24" s="154"/>
      <c r="R24" s="154"/>
      <c r="S24" s="154"/>
      <c r="T24" s="154"/>
      <c r="U24" s="155"/>
      <c r="V24" s="12"/>
    </row>
    <row r="25" spans="2:22" ht="13.2" customHeight="1" x14ac:dyDescent="0.25">
      <c r="B25" s="8"/>
      <c r="C25" s="149"/>
      <c r="D25" s="149"/>
      <c r="E25" s="149"/>
      <c r="F25" s="149"/>
      <c r="G25" s="149"/>
      <c r="H25" s="149"/>
      <c r="I25" s="149"/>
      <c r="J25" s="149"/>
      <c r="K25" s="149"/>
      <c r="L25" s="10"/>
      <c r="M25" s="13"/>
      <c r="N25" s="153"/>
      <c r="O25" s="154"/>
      <c r="P25" s="154"/>
      <c r="Q25" s="154"/>
      <c r="R25" s="154"/>
      <c r="S25" s="154"/>
      <c r="T25" s="154"/>
      <c r="U25" s="155"/>
      <c r="V25" s="12"/>
    </row>
    <row r="26" spans="2:22" ht="13.2" customHeight="1" x14ac:dyDescent="0.25">
      <c r="B26" s="8"/>
      <c r="C26" s="149"/>
      <c r="D26" s="149"/>
      <c r="E26" s="149"/>
      <c r="F26" s="149"/>
      <c r="G26" s="149"/>
      <c r="H26" s="149"/>
      <c r="I26" s="149"/>
      <c r="J26" s="149"/>
      <c r="K26" s="149"/>
      <c r="L26" s="10"/>
      <c r="M26" s="13"/>
      <c r="N26" s="156"/>
      <c r="O26" s="157"/>
      <c r="P26" s="157"/>
      <c r="Q26" s="157"/>
      <c r="R26" s="157"/>
      <c r="S26" s="157"/>
      <c r="T26" s="157"/>
      <c r="U26" s="158"/>
      <c r="V26" s="12"/>
    </row>
    <row r="27" spans="2:22" ht="13.2" customHeight="1" x14ac:dyDescent="0.2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6"/>
      <c r="N27" s="27"/>
      <c r="O27" s="27"/>
      <c r="P27" s="27"/>
      <c r="Q27" s="27"/>
      <c r="R27" s="27"/>
      <c r="S27" s="27"/>
      <c r="T27" s="27"/>
      <c r="U27" s="27"/>
      <c r="V27" s="28"/>
    </row>
  </sheetData>
  <sheetProtection algorithmName="SHA-512" hashValue="eSiBAai65VTTVllTk4b1RKjAqIAidh6C39VD5CxFoAIg+xW9pS7JU6B9tg+XAInrVrpbHMfX0c6FjLA3kPe8MA==" saltValue="EqYN0nNcsm8LRGyvPVvdW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197DADEA-CF04-4A9F-BF60-D9FFF91CD74B}"/>
    <hyperlink ref="T8:T11" r:id="rId2" display="Instructor-Led Boot Camps" xr:uid="{E5A220B7-6176-47F7-AE90-D9951793522A}"/>
    <hyperlink ref="T13:T16" r:id="rId3" display="1:1 Private Lessons" xr:uid="{66F38DE0-6109-4D69-83D1-B07292DC87DC}"/>
    <hyperlink ref="T18:T21" r:id="rId4" display="Free Guides and Lessons" xr:uid="{95DB582B-A0BB-444C-AF90-8BA22C75071B}"/>
    <hyperlink ref="T23:T26" r:id="rId5" display="Free Guides and Lessons" xr:uid="{DC654233-8CA5-4C2C-8816-82B595478E87}"/>
    <hyperlink ref="N23:T26" r:id="rId6" display="Template Library" xr:uid="{3087E791-65AC-4D97-B935-724278696C7F}"/>
    <hyperlink ref="C11:K16" r:id="rId7" display="Further Reading → Amazon Valuation Model" xr:uid="{2CD04228-EB2B-4DF6-861F-75C5D96D0A7C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A8C1-1E27-4711-89BC-AF3CD88D23FC}">
  <sheetPr>
    <tabColor theme="7" tint="0.79998168889431442"/>
  </sheetPr>
  <dimension ref="A1:M153"/>
  <sheetViews>
    <sheetView showGridLines="0" zoomScaleNormal="100" workbookViewId="0"/>
  </sheetViews>
  <sheetFormatPr defaultColWidth="9.44140625" defaultRowHeight="13.2" customHeight="1" x14ac:dyDescent="0.25"/>
  <cols>
    <col min="1" max="1" width="2.21875" style="31" bestFit="1" customWidth="1"/>
    <col min="2" max="13" width="9.33203125" style="31" customWidth="1"/>
    <col min="14" max="16384" width="9.44140625" style="31"/>
  </cols>
  <sheetData>
    <row r="1" spans="1:13" ht="13.2" customHeight="1" x14ac:dyDescent="0.25">
      <c r="A1" s="74"/>
      <c r="B1" s="82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13.2" customHeight="1" x14ac:dyDescent="0.25">
      <c r="A2" s="74" t="s">
        <v>20</v>
      </c>
      <c r="B2" s="131" t="s">
        <v>21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3.2" customHeight="1" x14ac:dyDescent="0.25">
      <c r="A3" s="74"/>
      <c r="B3" s="78" t="s">
        <v>22</v>
      </c>
      <c r="C3" s="76"/>
      <c r="D3" s="76"/>
      <c r="E3" s="77" t="s">
        <v>23</v>
      </c>
      <c r="F3" s="76"/>
      <c r="G3" s="78" t="s">
        <v>24</v>
      </c>
      <c r="H3" s="76"/>
      <c r="I3" s="79">
        <v>102.31</v>
      </c>
      <c r="J3" s="76"/>
      <c r="K3" s="78" t="s">
        <v>25</v>
      </c>
      <c r="L3" s="34"/>
      <c r="M3" s="80">
        <v>1</v>
      </c>
    </row>
    <row r="4" spans="1:13" ht="13.2" customHeight="1" x14ac:dyDescent="0.25">
      <c r="A4" s="74"/>
      <c r="B4" s="82" t="s">
        <v>26</v>
      </c>
      <c r="C4" s="74"/>
      <c r="D4" s="74"/>
      <c r="E4" s="81" t="s">
        <v>27</v>
      </c>
      <c r="F4" s="74"/>
      <c r="G4" s="82" t="s">
        <v>28</v>
      </c>
      <c r="H4" s="74"/>
      <c r="I4" s="83">
        <v>44726</v>
      </c>
      <c r="J4" s="74"/>
      <c r="K4" s="74"/>
      <c r="L4" s="74"/>
      <c r="M4" s="74"/>
    </row>
    <row r="5" spans="1:13" ht="13.2" customHeight="1" x14ac:dyDescent="0.25">
      <c r="A5" s="74"/>
      <c r="B5" s="82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3.2" customHeight="1" x14ac:dyDescent="0.25">
      <c r="A6" s="74" t="s">
        <v>20</v>
      </c>
      <c r="B6" s="132" t="s">
        <v>29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ht="13.2" customHeight="1" x14ac:dyDescent="0.25">
      <c r="A7" s="74"/>
      <c r="B7" s="133" t="s">
        <v>7</v>
      </c>
      <c r="C7" s="122"/>
      <c r="D7" s="122"/>
      <c r="E7" s="122"/>
      <c r="F7" s="123">
        <v>43830</v>
      </c>
      <c r="G7" s="123">
        <f t="shared" ref="G7:M7" si="0">+EOMONTH(F7,12)</f>
        <v>44196</v>
      </c>
      <c r="H7" s="124">
        <f t="shared" si="0"/>
        <v>44561</v>
      </c>
      <c r="I7" s="125">
        <f t="shared" si="0"/>
        <v>44926</v>
      </c>
      <c r="J7" s="125">
        <f t="shared" si="0"/>
        <v>45291</v>
      </c>
      <c r="K7" s="125">
        <f t="shared" si="0"/>
        <v>45657</v>
      </c>
      <c r="L7" s="125">
        <f t="shared" si="0"/>
        <v>46022</v>
      </c>
      <c r="M7" s="125">
        <f t="shared" si="0"/>
        <v>46387</v>
      </c>
    </row>
    <row r="8" spans="1:13" ht="13.2" customHeight="1" x14ac:dyDescent="0.25">
      <c r="A8" s="74"/>
      <c r="B8" s="74"/>
      <c r="C8" s="74"/>
      <c r="D8" s="74"/>
      <c r="E8" s="74"/>
      <c r="F8" s="74"/>
      <c r="G8" s="74"/>
      <c r="H8" s="86"/>
      <c r="I8" s="74"/>
      <c r="J8" s="74"/>
      <c r="K8" s="74"/>
      <c r="L8" s="74"/>
      <c r="M8" s="74"/>
    </row>
    <row r="9" spans="1:13" ht="13.2" customHeight="1" x14ac:dyDescent="0.25">
      <c r="A9" s="74"/>
      <c r="B9" s="134" t="s">
        <v>30</v>
      </c>
      <c r="C9" s="87"/>
      <c r="D9" s="87"/>
      <c r="E9" s="87"/>
      <c r="F9" s="88">
        <v>280522</v>
      </c>
      <c r="G9" s="88">
        <v>386064</v>
      </c>
      <c r="H9" s="89">
        <v>469822</v>
      </c>
      <c r="I9" s="90">
        <f>+H9*(1+I31)</f>
        <v>526200.64</v>
      </c>
      <c r="J9" s="90">
        <f>+I9*(1+J31)</f>
        <v>613023.74560000002</v>
      </c>
      <c r="K9" s="90">
        <f>+J9*(1+K31)</f>
        <v>704977.30744</v>
      </c>
      <c r="L9" s="90">
        <f>+K9*(1+L31)</f>
        <v>775475.03818400006</v>
      </c>
      <c r="M9" s="90">
        <f>+L9*(1+M31)</f>
        <v>810371.41490227997</v>
      </c>
    </row>
    <row r="10" spans="1:13" ht="13.2" customHeight="1" x14ac:dyDescent="0.25">
      <c r="A10" s="74"/>
      <c r="B10" s="134" t="s">
        <v>31</v>
      </c>
      <c r="C10" s="87"/>
      <c r="D10" s="87"/>
      <c r="E10" s="87"/>
      <c r="F10" s="81">
        <v>-165536</v>
      </c>
      <c r="G10" s="81">
        <v>-233307</v>
      </c>
      <c r="H10" s="91">
        <v>-272344</v>
      </c>
      <c r="I10" s="74">
        <f>-(1-I32)*I9</f>
        <v>-315720.38400000002</v>
      </c>
      <c r="J10" s="74">
        <f ca="1">-(1-J32)*J9</f>
        <v>-360151.45053999993</v>
      </c>
      <c r="K10" s="74">
        <f ca="1">-(1-K32)*K9</f>
        <v>-405361.95177799999</v>
      </c>
      <c r="L10" s="74">
        <f ca="1">-(1-L32)*L9</f>
        <v>-436204.70897850004</v>
      </c>
      <c r="M10" s="74">
        <f>-(1-M32)*M9</f>
        <v>-445704.27819625405</v>
      </c>
    </row>
    <row r="11" spans="1:13" ht="13.2" customHeight="1" x14ac:dyDescent="0.25">
      <c r="A11" s="74"/>
      <c r="B11" s="135" t="s">
        <v>32</v>
      </c>
      <c r="C11" s="92"/>
      <c r="D11" s="92"/>
      <c r="E11" s="92"/>
      <c r="F11" s="93">
        <f t="shared" ref="F11:M11" si="1">SUM(F9:F10)</f>
        <v>114986</v>
      </c>
      <c r="G11" s="93">
        <f t="shared" si="1"/>
        <v>152757</v>
      </c>
      <c r="H11" s="94">
        <f t="shared" si="1"/>
        <v>197478</v>
      </c>
      <c r="I11" s="93">
        <f t="shared" si="1"/>
        <v>210480.25599999999</v>
      </c>
      <c r="J11" s="93">
        <f t="shared" ca="1" si="1"/>
        <v>252872.29506000009</v>
      </c>
      <c r="K11" s="93">
        <f t="shared" ca="1" si="1"/>
        <v>299615.35566200002</v>
      </c>
      <c r="L11" s="93">
        <f t="shared" ca="1" si="1"/>
        <v>339270.32920550002</v>
      </c>
      <c r="M11" s="93">
        <f t="shared" si="1"/>
        <v>364667.13670602592</v>
      </c>
    </row>
    <row r="12" spans="1:13" ht="13.2" customHeight="1" x14ac:dyDescent="0.25">
      <c r="A12" s="74"/>
      <c r="B12" s="134" t="s">
        <v>33</v>
      </c>
      <c r="C12" s="87"/>
      <c r="D12" s="87"/>
      <c r="E12" s="87"/>
      <c r="F12" s="81">
        <v>-40232</v>
      </c>
      <c r="G12" s="81">
        <v>-58517</v>
      </c>
      <c r="H12" s="91">
        <v>-75111</v>
      </c>
      <c r="I12" s="74">
        <f t="shared" ref="I12:M14" si="2">-I33*I$9</f>
        <v>-86823.10560000001</v>
      </c>
      <c r="J12" s="74">
        <f t="shared" ca="1" si="2"/>
        <v>-97317.519614000004</v>
      </c>
      <c r="K12" s="74">
        <f t="shared" ca="1" si="2"/>
        <v>-107509.03938459999</v>
      </c>
      <c r="L12" s="74">
        <f t="shared" ca="1" si="2"/>
        <v>-113413.22433441</v>
      </c>
      <c r="M12" s="74">
        <f t="shared" si="2"/>
        <v>-113451.9980863192</v>
      </c>
    </row>
    <row r="13" spans="1:13" ht="13.2" customHeight="1" x14ac:dyDescent="0.25">
      <c r="A13" s="74"/>
      <c r="B13" s="134" t="s">
        <v>34</v>
      </c>
      <c r="C13" s="87"/>
      <c r="D13" s="87"/>
      <c r="E13" s="87"/>
      <c r="F13" s="81">
        <v>-35931</v>
      </c>
      <c r="G13" s="81">
        <v>-42740</v>
      </c>
      <c r="H13" s="91">
        <v>-56052</v>
      </c>
      <c r="I13" s="74">
        <f t="shared" si="2"/>
        <v>-57882.070400000004</v>
      </c>
      <c r="J13" s="74">
        <f t="shared" ca="1" si="2"/>
        <v>-65900.052651999998</v>
      </c>
      <c r="K13" s="74">
        <f t="shared" ca="1" si="2"/>
        <v>-74022.6172812</v>
      </c>
      <c r="L13" s="74">
        <f t="shared" ca="1" si="2"/>
        <v>-79486.191413859997</v>
      </c>
      <c r="M13" s="74">
        <f t="shared" si="2"/>
        <v>-81037.141490228008</v>
      </c>
    </row>
    <row r="14" spans="1:13" ht="13.2" customHeight="1" x14ac:dyDescent="0.25">
      <c r="A14" s="74"/>
      <c r="B14" s="134" t="s">
        <v>35</v>
      </c>
      <c r="C14" s="87"/>
      <c r="D14" s="87"/>
      <c r="E14" s="87"/>
      <c r="F14" s="81">
        <f>-18878-5203</f>
        <v>-24081</v>
      </c>
      <c r="G14" s="81">
        <f>-22008-6668</f>
        <v>-28676</v>
      </c>
      <c r="H14" s="91">
        <f>-32551-8823</f>
        <v>-41374</v>
      </c>
      <c r="I14" s="74">
        <f t="shared" si="2"/>
        <v>-44727.054400000001</v>
      </c>
      <c r="J14" s="74">
        <f t="shared" ca="1" si="2"/>
        <v>-49041.899648000006</v>
      </c>
      <c r="K14" s="74">
        <f t="shared" ca="1" si="2"/>
        <v>-52873.298058</v>
      </c>
      <c r="L14" s="74">
        <f t="shared" ca="1" si="2"/>
        <v>-54283.25267288</v>
      </c>
      <c r="M14" s="74">
        <f t="shared" si="2"/>
        <v>-52674.141968648197</v>
      </c>
    </row>
    <row r="15" spans="1:13" ht="13.2" customHeight="1" x14ac:dyDescent="0.25">
      <c r="A15" s="74"/>
      <c r="B15" s="134" t="s">
        <v>36</v>
      </c>
      <c r="C15" s="87"/>
      <c r="D15" s="87"/>
      <c r="E15" s="87"/>
      <c r="F15" s="81">
        <v>-201</v>
      </c>
      <c r="G15" s="81">
        <v>75</v>
      </c>
      <c r="H15" s="91">
        <v>-62</v>
      </c>
      <c r="I15" s="81">
        <v>0</v>
      </c>
      <c r="J15" s="74">
        <f>+I15</f>
        <v>0</v>
      </c>
      <c r="K15" s="74">
        <f>+J15</f>
        <v>0</v>
      </c>
      <c r="L15" s="74">
        <f>+K15</f>
        <v>0</v>
      </c>
      <c r="M15" s="74">
        <f>+L15</f>
        <v>0</v>
      </c>
    </row>
    <row r="16" spans="1:13" ht="13.2" customHeight="1" x14ac:dyDescent="0.25">
      <c r="A16" s="74"/>
      <c r="B16" s="136" t="s">
        <v>37</v>
      </c>
      <c r="C16" s="95"/>
      <c r="D16" s="95"/>
      <c r="E16" s="95"/>
      <c r="F16" s="93">
        <f t="shared" ref="F16:M16" si="3">+SUM(F11:F15)</f>
        <v>14541</v>
      </c>
      <c r="G16" s="93">
        <f t="shared" si="3"/>
        <v>22899</v>
      </c>
      <c r="H16" s="94">
        <f t="shared" si="3"/>
        <v>24879</v>
      </c>
      <c r="I16" s="93">
        <f t="shared" si="3"/>
        <v>21048.025599999986</v>
      </c>
      <c r="J16" s="93">
        <f t="shared" ca="1" si="3"/>
        <v>40612.823146000097</v>
      </c>
      <c r="K16" s="93">
        <f t="shared" ca="1" si="3"/>
        <v>65210.400938200008</v>
      </c>
      <c r="L16" s="93">
        <f t="shared" ca="1" si="3"/>
        <v>92087.660784350024</v>
      </c>
      <c r="M16" s="93">
        <f t="shared" si="3"/>
        <v>117503.85516083053</v>
      </c>
    </row>
    <row r="17" spans="1:13" ht="13.2" customHeight="1" x14ac:dyDescent="0.25">
      <c r="A17" s="74"/>
      <c r="B17" s="134" t="s">
        <v>38</v>
      </c>
      <c r="C17" s="87"/>
      <c r="D17" s="87"/>
      <c r="E17" s="87"/>
      <c r="F17" s="81">
        <f>-1600</f>
        <v>-1600</v>
      </c>
      <c r="G17" s="81">
        <f>-1647</f>
        <v>-1647</v>
      </c>
      <c r="H17" s="91">
        <f>-1809</f>
        <v>-1809</v>
      </c>
      <c r="I17" s="74">
        <f ca="1">-I151</f>
        <v>-2312.4210000000003</v>
      </c>
      <c r="J17" s="74">
        <f t="shared" ref="J17:M17" ca="1" si="4">-J151</f>
        <v>-2265.8630000000003</v>
      </c>
      <c r="K17" s="74">
        <f t="shared" ca="1" si="4"/>
        <v>-2219.3050000000007</v>
      </c>
      <c r="L17" s="74">
        <f t="shared" ca="1" si="4"/>
        <v>-2172.7470000000008</v>
      </c>
      <c r="M17" s="74">
        <f t="shared" ca="1" si="4"/>
        <v>-2126.1890000000008</v>
      </c>
    </row>
    <row r="18" spans="1:13" ht="13.2" customHeight="1" x14ac:dyDescent="0.25">
      <c r="A18" s="74"/>
      <c r="B18" s="134" t="s">
        <v>39</v>
      </c>
      <c r="C18" s="87"/>
      <c r="D18" s="87"/>
      <c r="E18" s="87"/>
      <c r="F18" s="81">
        <f>832</f>
        <v>832</v>
      </c>
      <c r="G18" s="81">
        <f>555</f>
        <v>555</v>
      </c>
      <c r="H18" s="91">
        <f>448</f>
        <v>448</v>
      </c>
      <c r="I18" s="74">
        <f ca="1">+I100</f>
        <v>195.1805743629032</v>
      </c>
      <c r="J18" s="74">
        <f ca="1">+J100</f>
        <v>228.88796962981118</v>
      </c>
      <c r="K18" s="74">
        <f ca="1">+K100</f>
        <v>318.6977001855285</v>
      </c>
      <c r="L18" s="74">
        <f ca="1">+L100</f>
        <v>460.67219299085809</v>
      </c>
      <c r="M18" s="74">
        <f ca="1">+M100</f>
        <v>652.35842741745876</v>
      </c>
    </row>
    <row r="19" spans="1:13" ht="13.2" customHeight="1" x14ac:dyDescent="0.25">
      <c r="A19" s="74"/>
      <c r="B19" s="134" t="s">
        <v>40</v>
      </c>
      <c r="C19" s="87"/>
      <c r="D19" s="87"/>
      <c r="E19" s="87"/>
      <c r="F19" s="81">
        <v>203</v>
      </c>
      <c r="G19" s="81">
        <v>2371</v>
      </c>
      <c r="H19" s="91">
        <v>14633</v>
      </c>
      <c r="I19" s="81">
        <v>0</v>
      </c>
      <c r="J19" s="74">
        <f>+I19</f>
        <v>0</v>
      </c>
      <c r="K19" s="74">
        <f>+J19</f>
        <v>0</v>
      </c>
      <c r="L19" s="74">
        <f>+K19</f>
        <v>0</v>
      </c>
      <c r="M19" s="74">
        <f>+L19</f>
        <v>0</v>
      </c>
    </row>
    <row r="20" spans="1:13" ht="13.2" customHeight="1" x14ac:dyDescent="0.25">
      <c r="A20" s="74"/>
      <c r="B20" s="136" t="s">
        <v>41</v>
      </c>
      <c r="C20" s="95"/>
      <c r="D20" s="95"/>
      <c r="E20" s="95"/>
      <c r="F20" s="93">
        <f t="shared" ref="F20:M20" si="5">+SUM(F16:F19)</f>
        <v>13976</v>
      </c>
      <c r="G20" s="93">
        <f t="shared" si="5"/>
        <v>24178</v>
      </c>
      <c r="H20" s="94">
        <f t="shared" si="5"/>
        <v>38151</v>
      </c>
      <c r="I20" s="93">
        <f t="shared" ca="1" si="5"/>
        <v>18930.785174362889</v>
      </c>
      <c r="J20" s="93">
        <f t="shared" ca="1" si="5"/>
        <v>38575.848115629909</v>
      </c>
      <c r="K20" s="93">
        <f t="shared" ca="1" si="5"/>
        <v>63309.793638385534</v>
      </c>
      <c r="L20" s="93">
        <f t="shared" ca="1" si="5"/>
        <v>90375.585977340874</v>
      </c>
      <c r="M20" s="93">
        <f t="shared" ca="1" si="5"/>
        <v>116030.02458824799</v>
      </c>
    </row>
    <row r="21" spans="1:13" ht="13.2" customHeight="1" x14ac:dyDescent="0.25">
      <c r="A21" s="74"/>
      <c r="B21" s="134" t="s">
        <v>42</v>
      </c>
      <c r="C21" s="87"/>
      <c r="D21" s="87"/>
      <c r="E21" s="87"/>
      <c r="F21" s="81">
        <f>-2374-14</f>
        <v>-2388</v>
      </c>
      <c r="G21" s="81">
        <f>-2863+16</f>
        <v>-2847</v>
      </c>
      <c r="H21" s="91">
        <f>-4791+4</f>
        <v>-4787</v>
      </c>
      <c r="I21" s="74">
        <f ca="1">-I37*I20</f>
        <v>-3028.9256278980624</v>
      </c>
      <c r="J21" s="74">
        <f ca="1">-J37*J20</f>
        <v>-6172.135698500786</v>
      </c>
      <c r="K21" s="74">
        <f ca="1">-K37*K20</f>
        <v>-10129.566982141685</v>
      </c>
      <c r="L21" s="74">
        <f ca="1">-L37*L20</f>
        <v>-14460.093756374539</v>
      </c>
      <c r="M21" s="74">
        <f ca="1">-M37*M20</f>
        <v>-18564.803934119678</v>
      </c>
    </row>
    <row r="22" spans="1:13" ht="13.2" customHeight="1" x14ac:dyDescent="0.25">
      <c r="A22" s="74"/>
      <c r="B22" s="136" t="s">
        <v>8</v>
      </c>
      <c r="C22" s="95"/>
      <c r="D22" s="95"/>
      <c r="E22" s="95"/>
      <c r="F22" s="93">
        <f t="shared" ref="F22:M22" si="6">SUM(F20:F21)</f>
        <v>11588</v>
      </c>
      <c r="G22" s="93">
        <f t="shared" si="6"/>
        <v>21331</v>
      </c>
      <c r="H22" s="94">
        <f t="shared" si="6"/>
        <v>33364</v>
      </c>
      <c r="I22" s="93">
        <f t="shared" ca="1" si="6"/>
        <v>15901.859546464826</v>
      </c>
      <c r="J22" s="93">
        <f t="shared" ca="1" si="6"/>
        <v>32403.712417129122</v>
      </c>
      <c r="K22" s="93">
        <f t="shared" ca="1" si="6"/>
        <v>53180.226656243845</v>
      </c>
      <c r="L22" s="93">
        <f t="shared" ca="1" si="6"/>
        <v>75915.492220966335</v>
      </c>
      <c r="M22" s="93">
        <f t="shared" ca="1" si="6"/>
        <v>97465.220654128323</v>
      </c>
    </row>
    <row r="23" spans="1:13" ht="13.2" customHeight="1" x14ac:dyDescent="0.25">
      <c r="A23" s="74"/>
      <c r="B23" s="82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ht="13.2" customHeight="1" x14ac:dyDescent="0.25">
      <c r="A24" s="74"/>
      <c r="B24" s="137" t="s">
        <v>43</v>
      </c>
      <c r="C24" s="96"/>
      <c r="D24" s="96"/>
      <c r="E24" s="96"/>
      <c r="F24" s="97"/>
      <c r="G24" s="97"/>
      <c r="H24" s="97"/>
      <c r="I24" s="98"/>
      <c r="J24" s="97"/>
      <c r="K24" s="97"/>
      <c r="L24" s="97"/>
      <c r="M24" s="97"/>
    </row>
    <row r="25" spans="1:13" ht="13.2" customHeight="1" x14ac:dyDescent="0.25">
      <c r="A25" s="74"/>
      <c r="B25" s="78" t="s">
        <v>37</v>
      </c>
      <c r="C25" s="76"/>
      <c r="D25" s="76"/>
      <c r="E25" s="76"/>
      <c r="F25" s="99">
        <f t="shared" ref="F25:M25" si="7">+F16</f>
        <v>14541</v>
      </c>
      <c r="G25" s="99">
        <f t="shared" si="7"/>
        <v>22899</v>
      </c>
      <c r="H25" s="100">
        <f t="shared" si="7"/>
        <v>24879</v>
      </c>
      <c r="I25" s="99">
        <f t="shared" si="7"/>
        <v>21048.025599999986</v>
      </c>
      <c r="J25" s="99">
        <f t="shared" ca="1" si="7"/>
        <v>40612.823146000097</v>
      </c>
      <c r="K25" s="99">
        <f t="shared" ca="1" si="7"/>
        <v>65210.400938200008</v>
      </c>
      <c r="L25" s="99">
        <f t="shared" ca="1" si="7"/>
        <v>92087.660784350024</v>
      </c>
      <c r="M25" s="99">
        <f t="shared" si="7"/>
        <v>117503.85516083053</v>
      </c>
    </row>
    <row r="26" spans="1:13" ht="13.2" customHeight="1" x14ac:dyDescent="0.25">
      <c r="A26" s="74"/>
      <c r="B26" s="82" t="s">
        <v>44</v>
      </c>
      <c r="C26" s="74"/>
      <c r="D26" s="74"/>
      <c r="E26" s="74"/>
      <c r="F26" s="81">
        <v>21789</v>
      </c>
      <c r="G26" s="81">
        <v>25251</v>
      </c>
      <c r="H26" s="91">
        <v>34296</v>
      </c>
      <c r="I26" s="74">
        <f>+I82</f>
        <v>31572.038400000001</v>
      </c>
      <c r="J26" s="74">
        <f ca="1">+J82</f>
        <v>37059.201120725003</v>
      </c>
      <c r="K26" s="74">
        <f ca="1">+K82</f>
        <v>42166.45520125499</v>
      </c>
      <c r="L26" s="74">
        <f ca="1">+L82</f>
        <v>45038.136202030117</v>
      </c>
      <c r="M26" s="74">
        <f>+M82</f>
        <v>44773.020673350969</v>
      </c>
    </row>
    <row r="27" spans="1:13" ht="13.2" customHeight="1" x14ac:dyDescent="0.25">
      <c r="A27" s="74"/>
      <c r="B27" s="82" t="s">
        <v>45</v>
      </c>
      <c r="C27" s="74"/>
      <c r="D27" s="74"/>
      <c r="E27" s="74"/>
      <c r="F27" s="81">
        <v>6864</v>
      </c>
      <c r="G27" s="81">
        <v>9208</v>
      </c>
      <c r="H27" s="91">
        <v>12757</v>
      </c>
      <c r="I27" s="74">
        <f>+I39*I9</f>
        <v>13155.016000000001</v>
      </c>
      <c r="J27" s="74">
        <f ca="1">+J39*J9</f>
        <v>14559.313958000001</v>
      </c>
      <c r="K27" s="74">
        <f ca="1">+K39*K9</f>
        <v>15861.9894174</v>
      </c>
      <c r="L27" s="74">
        <f ca="1">+L39*L9</f>
        <v>16478.844561409998</v>
      </c>
      <c r="M27" s="74">
        <f>+M39*M9</f>
        <v>16207.428298045599</v>
      </c>
    </row>
    <row r="28" spans="1:13" ht="13.2" customHeight="1" x14ac:dyDescent="0.25">
      <c r="A28" s="101"/>
      <c r="B28" s="138" t="s">
        <v>46</v>
      </c>
      <c r="C28" s="85"/>
      <c r="D28" s="85"/>
      <c r="E28" s="85"/>
      <c r="F28" s="93">
        <f t="shared" ref="F28:M28" si="8">SUM(F25:F27)</f>
        <v>43194</v>
      </c>
      <c r="G28" s="93">
        <f t="shared" si="8"/>
        <v>57358</v>
      </c>
      <c r="H28" s="94">
        <f t="shared" si="8"/>
        <v>71932</v>
      </c>
      <c r="I28" s="93">
        <f t="shared" si="8"/>
        <v>65775.079999999987</v>
      </c>
      <c r="J28" s="93">
        <f t="shared" ca="1" si="8"/>
        <v>92231.338224725099</v>
      </c>
      <c r="K28" s="93">
        <f t="shared" ca="1" si="8"/>
        <v>123238.845556855</v>
      </c>
      <c r="L28" s="93">
        <f t="shared" ca="1" si="8"/>
        <v>153604.64154779012</v>
      </c>
      <c r="M28" s="93">
        <f t="shared" si="8"/>
        <v>178484.30413222709</v>
      </c>
    </row>
    <row r="29" spans="1:13" ht="13.2" customHeight="1" x14ac:dyDescent="0.25">
      <c r="A29" s="74"/>
      <c r="B29" s="82"/>
      <c r="C29" s="74"/>
      <c r="D29" s="74"/>
      <c r="E29" s="74"/>
      <c r="F29" s="74"/>
      <c r="G29" s="74"/>
      <c r="H29" s="101"/>
      <c r="I29" s="101"/>
      <c r="J29" s="74"/>
      <c r="K29" s="74"/>
      <c r="L29" s="74"/>
      <c r="M29" s="74"/>
    </row>
    <row r="30" spans="1:13" ht="13.2" customHeight="1" x14ac:dyDescent="0.25">
      <c r="A30" s="74"/>
      <c r="B30" s="139" t="s">
        <v>47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13.2" customHeight="1" x14ac:dyDescent="0.25">
      <c r="A31" s="74"/>
      <c r="B31" s="140" t="s">
        <v>48</v>
      </c>
      <c r="C31" s="102"/>
      <c r="D31" s="102"/>
      <c r="E31" s="102"/>
      <c r="F31" s="103" t="str">
        <f>+IFERROR(F9/#REF!-1,"NA")</f>
        <v>NA</v>
      </c>
      <c r="G31" s="103">
        <f>+IFERROR(G9/F9-1,"NA")</f>
        <v>0.37623430604373276</v>
      </c>
      <c r="H31" s="104">
        <f>+IFERROR(H9/G9-1,"NA")</f>
        <v>0.21695366571345676</v>
      </c>
      <c r="I31" s="105">
        <v>0.12</v>
      </c>
      <c r="J31" s="105">
        <v>0.16500000000000001</v>
      </c>
      <c r="K31" s="105">
        <v>0.15</v>
      </c>
      <c r="L31" s="105">
        <v>0.1</v>
      </c>
      <c r="M31" s="105">
        <v>4.4999999999999998E-2</v>
      </c>
    </row>
    <row r="32" spans="1:13" ht="13.2" customHeight="1" x14ac:dyDescent="0.25">
      <c r="A32" s="74"/>
      <c r="B32" s="134" t="s">
        <v>49</v>
      </c>
      <c r="C32" s="87"/>
      <c r="D32" s="87"/>
      <c r="E32" s="87"/>
      <c r="F32" s="106">
        <f>+F11/F$9</f>
        <v>0.40990011478600608</v>
      </c>
      <c r="G32" s="106">
        <f>+G11/G$9</f>
        <v>0.3956779186870571</v>
      </c>
      <c r="H32" s="107">
        <f>+H11/H$9</f>
        <v>0.42032514441639601</v>
      </c>
      <c r="I32" s="108">
        <v>0.4</v>
      </c>
      <c r="J32" s="106">
        <f t="shared" ref="J32:L35" ca="1" si="9">+I32-($I32-$M32)/COUNTA($J32:$M32)</f>
        <v>0.41250000000000003</v>
      </c>
      <c r="K32" s="106">
        <f t="shared" ca="1" si="9"/>
        <v>0.42500000000000004</v>
      </c>
      <c r="L32" s="106">
        <f t="shared" ca="1" si="9"/>
        <v>0.43750000000000006</v>
      </c>
      <c r="M32" s="108">
        <v>0.45</v>
      </c>
    </row>
    <row r="33" spans="1:13" ht="13.2" customHeight="1" x14ac:dyDescent="0.25">
      <c r="A33" s="74"/>
      <c r="B33" s="134" t="s">
        <v>50</v>
      </c>
      <c r="C33" s="87"/>
      <c r="D33" s="87"/>
      <c r="E33" s="87"/>
      <c r="F33" s="106">
        <f t="shared" ref="F33:H35" si="10">-F12/F$9</f>
        <v>0.14341834152045116</v>
      </c>
      <c r="G33" s="106">
        <f t="shared" si="10"/>
        <v>0.15157331426913673</v>
      </c>
      <c r="H33" s="107">
        <f t="shared" si="10"/>
        <v>0.15987118525739535</v>
      </c>
      <c r="I33" s="108">
        <v>0.16500000000000001</v>
      </c>
      <c r="J33" s="106">
        <f t="shared" ca="1" si="9"/>
        <v>0.15875</v>
      </c>
      <c r="K33" s="106">
        <f t="shared" ca="1" si="9"/>
        <v>0.1525</v>
      </c>
      <c r="L33" s="106">
        <f t="shared" ca="1" si="9"/>
        <v>0.14624999999999999</v>
      </c>
      <c r="M33" s="108">
        <v>0.14000000000000001</v>
      </c>
    </row>
    <row r="34" spans="1:13" ht="13.2" customHeight="1" x14ac:dyDescent="0.25">
      <c r="A34" s="74"/>
      <c r="B34" s="134" t="s">
        <v>51</v>
      </c>
      <c r="C34" s="87"/>
      <c r="D34" s="87"/>
      <c r="E34" s="87"/>
      <c r="F34" s="106">
        <f t="shared" si="10"/>
        <v>0.12808621070718162</v>
      </c>
      <c r="G34" s="106">
        <f t="shared" si="10"/>
        <v>0.11070703303079282</v>
      </c>
      <c r="H34" s="107">
        <f t="shared" si="10"/>
        <v>0.11930475797216818</v>
      </c>
      <c r="I34" s="108">
        <v>0.11</v>
      </c>
      <c r="J34" s="106">
        <f t="shared" ca="1" si="9"/>
        <v>0.1075</v>
      </c>
      <c r="K34" s="106">
        <f t="shared" ca="1" si="9"/>
        <v>0.105</v>
      </c>
      <c r="L34" s="106">
        <f t="shared" ca="1" si="9"/>
        <v>0.10249999999999999</v>
      </c>
      <c r="M34" s="108">
        <v>0.1</v>
      </c>
    </row>
    <row r="35" spans="1:13" ht="13.2" customHeight="1" x14ac:dyDescent="0.25">
      <c r="A35" s="74"/>
      <c r="B35" s="134" t="s">
        <v>52</v>
      </c>
      <c r="C35" s="87"/>
      <c r="D35" s="87"/>
      <c r="E35" s="87"/>
      <c r="F35" s="106">
        <f t="shared" si="10"/>
        <v>8.5843534553439654E-2</v>
      </c>
      <c r="G35" s="106">
        <f t="shared" si="10"/>
        <v>7.4277839943636292E-2</v>
      </c>
      <c r="H35" s="107">
        <f t="shared" si="10"/>
        <v>8.8063138805760485E-2</v>
      </c>
      <c r="I35" s="108">
        <v>8.5000000000000006E-2</v>
      </c>
      <c r="J35" s="106">
        <f t="shared" ca="1" si="9"/>
        <v>0.08</v>
      </c>
      <c r="K35" s="106">
        <f t="shared" ca="1" si="9"/>
        <v>7.4999999999999997E-2</v>
      </c>
      <c r="L35" s="106">
        <f t="shared" ca="1" si="9"/>
        <v>6.9999999999999993E-2</v>
      </c>
      <c r="M35" s="108">
        <v>6.5000000000000002E-2</v>
      </c>
    </row>
    <row r="36" spans="1:13" ht="13.2" customHeight="1" x14ac:dyDescent="0.25">
      <c r="A36" s="74"/>
      <c r="B36" s="134" t="s">
        <v>53</v>
      </c>
      <c r="C36" s="87"/>
      <c r="D36" s="87"/>
      <c r="E36" s="87"/>
      <c r="F36" s="106">
        <f t="shared" ref="F36:M36" si="11">+F16/F$9</f>
        <v>5.1835506662579051E-2</v>
      </c>
      <c r="G36" s="106">
        <f t="shared" si="11"/>
        <v>5.9313999751336569E-2</v>
      </c>
      <c r="H36" s="107">
        <f t="shared" si="11"/>
        <v>5.2954097509269465E-2</v>
      </c>
      <c r="I36" s="106">
        <f t="shared" si="11"/>
        <v>3.9999999999999973E-2</v>
      </c>
      <c r="J36" s="106">
        <f t="shared" ca="1" si="11"/>
        <v>6.6250000000000156E-2</v>
      </c>
      <c r="K36" s="106">
        <f t="shared" ca="1" si="11"/>
        <v>9.2500000000000013E-2</v>
      </c>
      <c r="L36" s="106">
        <f t="shared" ca="1" si="11"/>
        <v>0.11875000000000002</v>
      </c>
      <c r="M36" s="106">
        <f t="shared" si="11"/>
        <v>0.14499999999999991</v>
      </c>
    </row>
    <row r="37" spans="1:13" ht="13.2" customHeight="1" x14ac:dyDescent="0.25">
      <c r="A37" s="74"/>
      <c r="B37" s="134" t="s">
        <v>54</v>
      </c>
      <c r="C37" s="87"/>
      <c r="D37" s="87"/>
      <c r="E37" s="87"/>
      <c r="F37" s="106">
        <f>-F21/F20</f>
        <v>0.1708643388666285</v>
      </c>
      <c r="G37" s="106">
        <f>-G21/G20</f>
        <v>0.11775167507651584</v>
      </c>
      <c r="H37" s="107">
        <f>-H21/H20</f>
        <v>0.12547508584309716</v>
      </c>
      <c r="I37" s="108">
        <v>0.16</v>
      </c>
      <c r="J37" s="106">
        <f>+I37</f>
        <v>0.16</v>
      </c>
      <c r="K37" s="106">
        <f>+J37</f>
        <v>0.16</v>
      </c>
      <c r="L37" s="106">
        <f>+K37</f>
        <v>0.16</v>
      </c>
      <c r="M37" s="106">
        <f>+L37</f>
        <v>0.16</v>
      </c>
    </row>
    <row r="38" spans="1:13" ht="13.2" customHeight="1" x14ac:dyDescent="0.25">
      <c r="A38" s="74"/>
      <c r="B38" s="134" t="s">
        <v>55</v>
      </c>
      <c r="C38" s="87"/>
      <c r="D38" s="87"/>
      <c r="E38" s="87"/>
      <c r="F38" s="106">
        <f>+F22/F$9</f>
        <v>4.1308703060722513E-2</v>
      </c>
      <c r="G38" s="106">
        <f t="shared" ref="G38:M38" si="12">+G22/G$9</f>
        <v>5.5252496995316841E-2</v>
      </c>
      <c r="H38" s="107">
        <f t="shared" si="12"/>
        <v>7.1014128755145567E-2</v>
      </c>
      <c r="I38" s="106">
        <f t="shared" ca="1" si="12"/>
        <v>3.0220144822448003E-2</v>
      </c>
      <c r="J38" s="106">
        <f t="shared" ca="1" si="12"/>
        <v>5.2858820966900436E-2</v>
      </c>
      <c r="K38" s="106">
        <f t="shared" ca="1" si="12"/>
        <v>7.543537372764296E-2</v>
      </c>
      <c r="L38" s="106">
        <f t="shared" ca="1" si="12"/>
        <v>9.7895468561753449E-2</v>
      </c>
      <c r="M38" s="106">
        <f t="shared" ca="1" si="12"/>
        <v>0.12027228362427041</v>
      </c>
    </row>
    <row r="39" spans="1:13" ht="13.2" customHeight="1" x14ac:dyDescent="0.25">
      <c r="A39" s="74"/>
      <c r="B39" s="134" t="s">
        <v>56</v>
      </c>
      <c r="C39" s="87"/>
      <c r="D39" s="87"/>
      <c r="E39" s="87"/>
      <c r="F39" s="106">
        <f t="shared" ref="F39:H40" si="13">+F27/F$9</f>
        <v>2.4468669123990275E-2</v>
      </c>
      <c r="G39" s="106">
        <f t="shared" si="13"/>
        <v>2.3850967715197482E-2</v>
      </c>
      <c r="H39" s="107">
        <f t="shared" si="13"/>
        <v>2.7152836606204052E-2</v>
      </c>
      <c r="I39" s="108">
        <v>2.5000000000000001E-2</v>
      </c>
      <c r="J39" s="106">
        <f ca="1">+I39-($I39-$M39)/COUNTA($J39:$M39)</f>
        <v>2.375E-2</v>
      </c>
      <c r="K39" s="106">
        <f ca="1">+J39-($I39-$M39)/COUNTA($J39:$M39)</f>
        <v>2.2499999999999999E-2</v>
      </c>
      <c r="L39" s="106">
        <f ca="1">+K39-($I39-$M39)/COUNTA($J39:$M39)</f>
        <v>2.1249999999999998E-2</v>
      </c>
      <c r="M39" s="108">
        <v>0.02</v>
      </c>
    </row>
    <row r="40" spans="1:13" ht="13.2" customHeight="1" x14ac:dyDescent="0.25">
      <c r="A40" s="74"/>
      <c r="B40" s="134" t="s">
        <v>57</v>
      </c>
      <c r="C40" s="87"/>
      <c r="D40" s="87"/>
      <c r="E40" s="87"/>
      <c r="F40" s="106">
        <f t="shared" si="13"/>
        <v>0.15397722816748777</v>
      </c>
      <c r="G40" s="106">
        <f t="shared" si="13"/>
        <v>0.14857122135190021</v>
      </c>
      <c r="H40" s="107">
        <f t="shared" si="13"/>
        <v>0.15310479287900525</v>
      </c>
      <c r="I40" s="106">
        <f>+I28/I$9</f>
        <v>0.12499999999999997</v>
      </c>
      <c r="J40" s="106">
        <f ca="1">+J28/J$9</f>
        <v>0.15045312500000016</v>
      </c>
      <c r="K40" s="106">
        <f ca="1">+K28/K$9</f>
        <v>0.17481250000000001</v>
      </c>
      <c r="L40" s="106">
        <f ca="1">+L28/L$9</f>
        <v>0.19807812499999997</v>
      </c>
      <c r="M40" s="106">
        <f>+M28/M$9</f>
        <v>0.22024999999999992</v>
      </c>
    </row>
    <row r="41" spans="1:13" ht="13.2" customHeight="1" x14ac:dyDescent="0.25">
      <c r="A41" s="74"/>
      <c r="B41" s="82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spans="1:13" ht="13.2" customHeight="1" x14ac:dyDescent="0.25">
      <c r="A42" s="74" t="s">
        <v>20</v>
      </c>
      <c r="B42" s="132" t="s">
        <v>58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13.2" customHeight="1" x14ac:dyDescent="0.25">
      <c r="A43" s="74"/>
      <c r="B43" s="133" t="s">
        <v>7</v>
      </c>
      <c r="C43" s="122"/>
      <c r="D43" s="122"/>
      <c r="E43" s="122"/>
      <c r="F43" s="122"/>
      <c r="G43" s="123">
        <f t="shared" ref="G43:M43" si="14">+G$7</f>
        <v>44196</v>
      </c>
      <c r="H43" s="124">
        <f t="shared" si="14"/>
        <v>44561</v>
      </c>
      <c r="I43" s="125">
        <f t="shared" si="14"/>
        <v>44926</v>
      </c>
      <c r="J43" s="125">
        <f t="shared" si="14"/>
        <v>45291</v>
      </c>
      <c r="K43" s="125">
        <f t="shared" si="14"/>
        <v>45657</v>
      </c>
      <c r="L43" s="125">
        <f t="shared" si="14"/>
        <v>46022</v>
      </c>
      <c r="M43" s="125">
        <f t="shared" si="14"/>
        <v>46387</v>
      </c>
    </row>
    <row r="44" spans="1:13" ht="13.2" customHeight="1" x14ac:dyDescent="0.25">
      <c r="A44" s="74"/>
      <c r="B44" s="141"/>
      <c r="C44" s="109"/>
      <c r="D44" s="109"/>
      <c r="E44" s="109"/>
      <c r="F44" s="101"/>
      <c r="G44" s="101"/>
      <c r="H44" s="110"/>
      <c r="I44" s="101"/>
      <c r="J44" s="101"/>
      <c r="K44" s="101"/>
      <c r="L44" s="101"/>
      <c r="M44" s="101"/>
    </row>
    <row r="45" spans="1:13" ht="13.2" customHeight="1" x14ac:dyDescent="0.25">
      <c r="A45" s="74"/>
      <c r="B45" s="134" t="s">
        <v>59</v>
      </c>
      <c r="C45" s="87"/>
      <c r="D45" s="87"/>
      <c r="E45" s="87"/>
      <c r="F45" s="74"/>
      <c r="G45" s="88">
        <f>42122+42274</f>
        <v>84396</v>
      </c>
      <c r="H45" s="89">
        <f>36220+59829</f>
        <v>96049</v>
      </c>
      <c r="I45" s="90">
        <f ca="1">+I99</f>
        <v>99131.574362903193</v>
      </c>
      <c r="J45" s="90">
        <f ca="1">+J99</f>
        <v>129756.39526690799</v>
      </c>
      <c r="K45" s="90">
        <f ca="1">+K99</f>
        <v>188941.30491862053</v>
      </c>
      <c r="L45" s="90">
        <f ca="1">+L99</f>
        <v>271730.88807223761</v>
      </c>
      <c r="M45" s="90">
        <f ca="1">+M99</f>
        <v>380627.53934522119</v>
      </c>
    </row>
    <row r="46" spans="1:13" ht="13.2" customHeight="1" x14ac:dyDescent="0.25">
      <c r="A46" s="74"/>
      <c r="B46" s="134" t="s">
        <v>60</v>
      </c>
      <c r="C46" s="87"/>
      <c r="D46" s="87"/>
      <c r="E46" s="87"/>
      <c r="F46" s="74"/>
      <c r="G46" s="81">
        <v>23795</v>
      </c>
      <c r="H46" s="91">
        <v>32640</v>
      </c>
      <c r="I46" s="74">
        <f>-I70*I10/365</f>
        <v>36329.468843835617</v>
      </c>
      <c r="J46" s="74">
        <f ca="1">-J70*J10/365</f>
        <v>44402.233628219175</v>
      </c>
      <c r="K46" s="74">
        <f ca="1">-K70*K10/365</f>
        <v>48310.260006419179</v>
      </c>
      <c r="L46" s="74">
        <f ca="1">-L70*L10/365</f>
        <v>50193.418567389046</v>
      </c>
      <c r="M46" s="74">
        <f>-M70*M10/365</f>
        <v>43959.87401387711</v>
      </c>
    </row>
    <row r="47" spans="1:13" ht="13.2" customHeight="1" x14ac:dyDescent="0.25">
      <c r="A47" s="74"/>
      <c r="B47" s="134" t="s">
        <v>61</v>
      </c>
      <c r="C47" s="87"/>
      <c r="D47" s="87"/>
      <c r="E47" s="87"/>
      <c r="F47" s="74"/>
      <c r="G47" s="81">
        <v>24542</v>
      </c>
      <c r="H47" s="91">
        <v>32891</v>
      </c>
      <c r="I47" s="74">
        <f>+I71/365*I9</f>
        <v>37482.785315068497</v>
      </c>
      <c r="J47" s="74">
        <f ca="1">+J71/365*J9</f>
        <v>42827.686336438361</v>
      </c>
      <c r="K47" s="74">
        <f ca="1">+K71/365*K9</f>
        <v>48286.1169479452</v>
      </c>
      <c r="L47" s="74">
        <f ca="1">+L71/365*L9</f>
        <v>52052.434069884934</v>
      </c>
      <c r="M47" s="74">
        <f>+M71/365*M9</f>
        <v>53284.695774396489</v>
      </c>
    </row>
    <row r="48" spans="1:13" ht="13.2" customHeight="1" x14ac:dyDescent="0.25">
      <c r="A48" s="74"/>
      <c r="B48" s="134" t="s">
        <v>62</v>
      </c>
      <c r="C48" s="87"/>
      <c r="D48" s="87"/>
      <c r="E48" s="87"/>
      <c r="F48" s="74"/>
      <c r="G48" s="81">
        <v>113114</v>
      </c>
      <c r="H48" s="91">
        <v>160281</v>
      </c>
      <c r="I48" s="74">
        <f>+I108</f>
        <v>181329.02560000002</v>
      </c>
      <c r="J48" s="74">
        <f ca="1">+J108</f>
        <v>200208.24126527499</v>
      </c>
      <c r="K48" s="74">
        <f ca="1">+K108</f>
        <v>216202.41392781999</v>
      </c>
      <c r="L48" s="74">
        <f ca="1">+L108</f>
        <v>228355.56179185986</v>
      </c>
      <c r="M48" s="74">
        <f ca="1">+M108</f>
        <v>236256.68308715709</v>
      </c>
    </row>
    <row r="49" spans="1:13" ht="13.2" customHeight="1" x14ac:dyDescent="0.25">
      <c r="A49" s="74"/>
      <c r="B49" s="134" t="s">
        <v>63</v>
      </c>
      <c r="C49" s="87"/>
      <c r="D49" s="87"/>
      <c r="E49" s="87"/>
      <c r="F49" s="74"/>
      <c r="G49" s="81">
        <v>15017</v>
      </c>
      <c r="H49" s="91">
        <v>15371</v>
      </c>
      <c r="I49" s="81">
        <f t="shared" ref="I49:M50" si="15">+H49</f>
        <v>15371</v>
      </c>
      <c r="J49" s="74">
        <f t="shared" si="15"/>
        <v>15371</v>
      </c>
      <c r="K49" s="74">
        <f t="shared" si="15"/>
        <v>15371</v>
      </c>
      <c r="L49" s="74">
        <f t="shared" si="15"/>
        <v>15371</v>
      </c>
      <c r="M49" s="74">
        <f t="shared" si="15"/>
        <v>15371</v>
      </c>
    </row>
    <row r="50" spans="1:13" ht="13.2" customHeight="1" x14ac:dyDescent="0.25">
      <c r="A50" s="74"/>
      <c r="B50" s="134" t="s">
        <v>64</v>
      </c>
      <c r="C50" s="87"/>
      <c r="D50" s="87"/>
      <c r="E50" s="87"/>
      <c r="F50" s="74"/>
      <c r="G50" s="81">
        <f>22778+37553</f>
        <v>60331</v>
      </c>
      <c r="H50" s="91">
        <f>27235+56082</f>
        <v>83317</v>
      </c>
      <c r="I50" s="81">
        <f t="shared" si="15"/>
        <v>83317</v>
      </c>
      <c r="J50" s="74">
        <f t="shared" si="15"/>
        <v>83317</v>
      </c>
      <c r="K50" s="74">
        <f t="shared" si="15"/>
        <v>83317</v>
      </c>
      <c r="L50" s="74">
        <f t="shared" si="15"/>
        <v>83317</v>
      </c>
      <c r="M50" s="74">
        <f t="shared" si="15"/>
        <v>83317</v>
      </c>
    </row>
    <row r="51" spans="1:13" ht="13.2" customHeight="1" x14ac:dyDescent="0.25">
      <c r="A51" s="74"/>
      <c r="B51" s="136" t="s">
        <v>65</v>
      </c>
      <c r="C51" s="95"/>
      <c r="D51" s="95"/>
      <c r="E51" s="95"/>
      <c r="F51" s="85"/>
      <c r="G51" s="93">
        <f t="shared" ref="G51:H51" si="16">SUM(G45:G50)</f>
        <v>321195</v>
      </c>
      <c r="H51" s="94">
        <f t="shared" si="16"/>
        <v>420549</v>
      </c>
      <c r="I51" s="93">
        <f ca="1">SUM(I45:I50)</f>
        <v>452960.85412180732</v>
      </c>
      <c r="J51" s="93">
        <f ca="1">SUM(J45:J50)</f>
        <v>515882.55649684049</v>
      </c>
      <c r="K51" s="93">
        <f ca="1">SUM(K45:K50)</f>
        <v>600428.09580080491</v>
      </c>
      <c r="L51" s="93">
        <f ca="1">SUM(L45:L50)</f>
        <v>701020.30250137136</v>
      </c>
      <c r="M51" s="93">
        <f ca="1">SUM(M45:M50)</f>
        <v>812816.79222065187</v>
      </c>
    </row>
    <row r="52" spans="1:13" ht="13.2" customHeight="1" x14ac:dyDescent="0.25">
      <c r="A52" s="74"/>
      <c r="B52" s="134"/>
      <c r="C52" s="87"/>
      <c r="D52" s="87"/>
      <c r="E52" s="87"/>
      <c r="F52" s="74"/>
      <c r="G52" s="74"/>
      <c r="H52" s="86"/>
      <c r="I52" s="74"/>
      <c r="J52" s="74"/>
      <c r="K52" s="74"/>
      <c r="L52" s="74"/>
      <c r="M52" s="74"/>
    </row>
    <row r="53" spans="1:13" ht="13.2" customHeight="1" x14ac:dyDescent="0.25">
      <c r="A53" s="74"/>
      <c r="B53" s="134" t="s">
        <v>66</v>
      </c>
      <c r="C53" s="87"/>
      <c r="D53" s="87"/>
      <c r="E53" s="87"/>
      <c r="F53" s="74"/>
      <c r="G53" s="90">
        <v>0</v>
      </c>
      <c r="H53" s="111">
        <v>0</v>
      </c>
      <c r="I53" s="90">
        <f ca="1">+I127</f>
        <v>0</v>
      </c>
      <c r="J53" s="90">
        <f ca="1">+J127</f>
        <v>0</v>
      </c>
      <c r="K53" s="90">
        <f ca="1">+K127</f>
        <v>0</v>
      </c>
      <c r="L53" s="90">
        <f ca="1">+L127</f>
        <v>0</v>
      </c>
      <c r="M53" s="90">
        <f ca="1">+M127</f>
        <v>0</v>
      </c>
    </row>
    <row r="54" spans="1:13" ht="13.2" customHeight="1" x14ac:dyDescent="0.25">
      <c r="A54" s="74"/>
      <c r="B54" s="134" t="s">
        <v>67</v>
      </c>
      <c r="C54" s="87"/>
      <c r="D54" s="87"/>
      <c r="E54" s="87"/>
      <c r="F54" s="74"/>
      <c r="G54" s="81">
        <v>72539</v>
      </c>
      <c r="H54" s="91">
        <v>78664</v>
      </c>
      <c r="I54" s="74">
        <f>-I72*I10/365</f>
        <v>82173.798575342473</v>
      </c>
      <c r="J54" s="74">
        <f t="shared" ref="J54:M54" ca="1" si="17">-J72*J10/365</f>
        <v>94971.44414924657</v>
      </c>
      <c r="K54" s="74">
        <f t="shared" ca="1" si="17"/>
        <v>108281.61725576712</v>
      </c>
      <c r="L54" s="74">
        <f t="shared" ca="1" si="17"/>
        <v>118014.28770308734</v>
      </c>
      <c r="M54" s="74">
        <f t="shared" si="17"/>
        <v>122110.76114965865</v>
      </c>
    </row>
    <row r="55" spans="1:13" ht="13.2" customHeight="1" x14ac:dyDescent="0.25">
      <c r="A55" s="74"/>
      <c r="B55" s="134" t="s">
        <v>68</v>
      </c>
      <c r="C55" s="87"/>
      <c r="D55" s="87"/>
      <c r="E55" s="87"/>
      <c r="F55" s="74"/>
      <c r="G55" s="81">
        <v>44138</v>
      </c>
      <c r="H55" s="91">
        <v>51775</v>
      </c>
      <c r="I55" s="74">
        <f>+I73*I9</f>
        <v>52620.064000000006</v>
      </c>
      <c r="J55" s="74">
        <f ca="1">+J73*J9</f>
        <v>58237.255832000003</v>
      </c>
      <c r="K55" s="74">
        <f ca="1">+K73*K9</f>
        <v>63447.9576696</v>
      </c>
      <c r="L55" s="74">
        <f ca="1">+L73*L9</f>
        <v>65915.378245639993</v>
      </c>
      <c r="M55" s="74">
        <f>+M73*M9</f>
        <v>64829.713192182397</v>
      </c>
    </row>
    <row r="56" spans="1:13" ht="13.2" customHeight="1" x14ac:dyDescent="0.25">
      <c r="A56" s="74"/>
      <c r="B56" s="134" t="s">
        <v>69</v>
      </c>
      <c r="C56" s="87"/>
      <c r="D56" s="87"/>
      <c r="E56" s="87"/>
      <c r="F56" s="74"/>
      <c r="G56" s="81">
        <v>9708</v>
      </c>
      <c r="H56" s="91">
        <v>11827</v>
      </c>
      <c r="I56" s="74">
        <f>+I74*I9</f>
        <v>13155.016000000001</v>
      </c>
      <c r="J56" s="74">
        <f ca="1">+J74*J9</f>
        <v>13026.754594000002</v>
      </c>
      <c r="K56" s="74">
        <f ca="1">+K74*K9</f>
        <v>12337.102880200002</v>
      </c>
      <c r="L56" s="74">
        <f ca="1">+L74*L9</f>
        <v>10662.781775030002</v>
      </c>
      <c r="M56" s="74">
        <f>+M74*M9</f>
        <v>8103.7141490227996</v>
      </c>
    </row>
    <row r="57" spans="1:13" ht="13.2" customHeight="1" x14ac:dyDescent="0.25">
      <c r="A57" s="74"/>
      <c r="B57" s="134" t="s">
        <v>70</v>
      </c>
      <c r="C57" s="87"/>
      <c r="D57" s="87"/>
      <c r="E57" s="87"/>
      <c r="F57" s="74"/>
      <c r="G57" s="81">
        <f>31816+52573</f>
        <v>84389</v>
      </c>
      <c r="H57" s="91">
        <f>48744+67651</f>
        <v>116395</v>
      </c>
      <c r="I57" s="74">
        <f ca="1">+I143</f>
        <v>114067.1</v>
      </c>
      <c r="J57" s="74">
        <f ca="1">+J143</f>
        <v>111739.20000000001</v>
      </c>
      <c r="K57" s="74">
        <f ca="1">+K143</f>
        <v>109411.30000000002</v>
      </c>
      <c r="L57" s="74">
        <f ca="1">+L143</f>
        <v>107083.40000000002</v>
      </c>
      <c r="M57" s="74">
        <f ca="1">+M143</f>
        <v>104755.50000000003</v>
      </c>
    </row>
    <row r="58" spans="1:13" ht="13.2" customHeight="1" x14ac:dyDescent="0.25">
      <c r="A58" s="74"/>
      <c r="B58" s="134" t="s">
        <v>71</v>
      </c>
      <c r="C58" s="87"/>
      <c r="D58" s="87"/>
      <c r="E58" s="87"/>
      <c r="F58" s="74"/>
      <c r="G58" s="81">
        <f>17017</f>
        <v>17017</v>
      </c>
      <c r="H58" s="91">
        <f>23643</f>
        <v>23643</v>
      </c>
      <c r="I58" s="81">
        <f>+H58</f>
        <v>23643</v>
      </c>
      <c r="J58" s="74">
        <f>+I58</f>
        <v>23643</v>
      </c>
      <c r="K58" s="74">
        <f>+J58</f>
        <v>23643</v>
      </c>
      <c r="L58" s="74">
        <f>+K58</f>
        <v>23643</v>
      </c>
      <c r="M58" s="74">
        <f>+L58</f>
        <v>23643</v>
      </c>
    </row>
    <row r="59" spans="1:13" ht="13.2" customHeight="1" x14ac:dyDescent="0.25">
      <c r="A59" s="74"/>
      <c r="B59" s="136" t="s">
        <v>72</v>
      </c>
      <c r="C59" s="95"/>
      <c r="D59" s="95"/>
      <c r="E59" s="95"/>
      <c r="F59" s="85"/>
      <c r="G59" s="93">
        <f t="shared" ref="G59:H59" si="18">SUM(G53:G58)</f>
        <v>227791</v>
      </c>
      <c r="H59" s="94">
        <f t="shared" si="18"/>
        <v>282304</v>
      </c>
      <c r="I59" s="93">
        <f ca="1">SUM(I53:I58)</f>
        <v>285658.97857534245</v>
      </c>
      <c r="J59" s="93">
        <f ca="1">SUM(J53:J58)</f>
        <v>301617.65457524662</v>
      </c>
      <c r="K59" s="93">
        <f ca="1">SUM(K53:K58)</f>
        <v>317120.97780556715</v>
      </c>
      <c r="L59" s="93">
        <f ca="1">SUM(L53:L58)</f>
        <v>325318.84772375738</v>
      </c>
      <c r="M59" s="93">
        <f ca="1">SUM(M53:M58)</f>
        <v>323442.68849086389</v>
      </c>
    </row>
    <row r="60" spans="1:13" ht="13.2" customHeight="1" x14ac:dyDescent="0.25">
      <c r="A60" s="74"/>
      <c r="B60" s="134"/>
      <c r="C60" s="87"/>
      <c r="D60" s="87"/>
      <c r="E60" s="87"/>
      <c r="F60" s="74"/>
      <c r="G60" s="74"/>
      <c r="H60" s="86"/>
      <c r="I60" s="74"/>
      <c r="J60" s="74"/>
      <c r="K60" s="74"/>
      <c r="L60" s="74"/>
      <c r="M60" s="74"/>
    </row>
    <row r="61" spans="1:13" ht="13.2" customHeight="1" x14ac:dyDescent="0.25">
      <c r="A61" s="74"/>
      <c r="B61" s="134" t="s">
        <v>73</v>
      </c>
      <c r="C61" s="87"/>
      <c r="D61" s="87"/>
      <c r="E61" s="87"/>
      <c r="F61" s="74"/>
      <c r="G61" s="88">
        <f>5+42865</f>
        <v>42870</v>
      </c>
      <c r="H61" s="89">
        <f>5+55538</f>
        <v>55543</v>
      </c>
      <c r="I61" s="90">
        <f>+H61+I83</f>
        <v>68698.016000000003</v>
      </c>
      <c r="J61" s="90">
        <f ca="1">+I61+J83</f>
        <v>83257.329958000002</v>
      </c>
      <c r="K61" s="90">
        <f ca="1">+J61+K83</f>
        <v>99119.319375399995</v>
      </c>
      <c r="L61" s="90">
        <f ca="1">+K61+L83</f>
        <v>115598.16393680999</v>
      </c>
      <c r="M61" s="90">
        <f ca="1">+L61+M83</f>
        <v>131805.59223485558</v>
      </c>
    </row>
    <row r="62" spans="1:13" ht="13.2" customHeight="1" x14ac:dyDescent="0.25">
      <c r="A62" s="74"/>
      <c r="B62" s="134" t="s">
        <v>74</v>
      </c>
      <c r="C62" s="87"/>
      <c r="D62" s="87"/>
      <c r="E62" s="87"/>
      <c r="F62" s="74"/>
      <c r="G62" s="81">
        <v>-1837</v>
      </c>
      <c r="H62" s="91">
        <v>-1837</v>
      </c>
      <c r="I62" s="81">
        <f t="shared" ref="I62:M63" si="19">+H62</f>
        <v>-1837</v>
      </c>
      <c r="J62" s="74">
        <f t="shared" si="19"/>
        <v>-1837</v>
      </c>
      <c r="K62" s="74">
        <f t="shared" si="19"/>
        <v>-1837</v>
      </c>
      <c r="L62" s="74">
        <f t="shared" si="19"/>
        <v>-1837</v>
      </c>
      <c r="M62" s="74">
        <f t="shared" si="19"/>
        <v>-1837</v>
      </c>
    </row>
    <row r="63" spans="1:13" ht="13.2" customHeight="1" x14ac:dyDescent="0.25">
      <c r="A63" s="74"/>
      <c r="B63" s="134" t="s">
        <v>75</v>
      </c>
      <c r="C63" s="87"/>
      <c r="D63" s="87"/>
      <c r="E63" s="87"/>
      <c r="F63" s="74"/>
      <c r="G63" s="81">
        <v>-180</v>
      </c>
      <c r="H63" s="91">
        <v>-1376</v>
      </c>
      <c r="I63" s="81">
        <f t="shared" si="19"/>
        <v>-1376</v>
      </c>
      <c r="J63" s="74">
        <f t="shared" si="19"/>
        <v>-1376</v>
      </c>
      <c r="K63" s="74">
        <f t="shared" si="19"/>
        <v>-1376</v>
      </c>
      <c r="L63" s="74">
        <f t="shared" si="19"/>
        <v>-1376</v>
      </c>
      <c r="M63" s="74">
        <f t="shared" si="19"/>
        <v>-1376</v>
      </c>
    </row>
    <row r="64" spans="1:13" ht="13.2" customHeight="1" x14ac:dyDescent="0.25">
      <c r="A64" s="74"/>
      <c r="B64" s="134" t="s">
        <v>76</v>
      </c>
      <c r="C64" s="87"/>
      <c r="D64" s="87"/>
      <c r="E64" s="87"/>
      <c r="F64" s="74"/>
      <c r="G64" s="81">
        <v>52551</v>
      </c>
      <c r="H64" s="91">
        <v>85915</v>
      </c>
      <c r="I64" s="74">
        <f ca="1">+H64+I22</f>
        <v>101816.85954646482</v>
      </c>
      <c r="J64" s="74">
        <f ca="1">+I64+J22</f>
        <v>134220.57196359395</v>
      </c>
      <c r="K64" s="74">
        <f ca="1">+J64+K22</f>
        <v>187400.79861983779</v>
      </c>
      <c r="L64" s="74">
        <f ca="1">+K64+L22</f>
        <v>263316.29084080411</v>
      </c>
      <c r="M64" s="74">
        <f ca="1">+L64+M22</f>
        <v>360781.51149493246</v>
      </c>
    </row>
    <row r="65" spans="1:13" ht="13.2" customHeight="1" x14ac:dyDescent="0.25">
      <c r="A65" s="74"/>
      <c r="B65" s="136" t="s">
        <v>77</v>
      </c>
      <c r="C65" s="95"/>
      <c r="D65" s="95"/>
      <c r="E65" s="95"/>
      <c r="F65" s="85"/>
      <c r="G65" s="93">
        <f t="shared" ref="G65:H65" si="20">SUM(G61:G64)</f>
        <v>93404</v>
      </c>
      <c r="H65" s="94">
        <f t="shared" si="20"/>
        <v>138245</v>
      </c>
      <c r="I65" s="93">
        <f ca="1">SUM(I61:I64)</f>
        <v>167301.87554646481</v>
      </c>
      <c r="J65" s="93">
        <f ca="1">SUM(J61:J64)</f>
        <v>214264.90192159393</v>
      </c>
      <c r="K65" s="93">
        <f ca="1">SUM(K61:K64)</f>
        <v>283307.11799523782</v>
      </c>
      <c r="L65" s="93">
        <f ca="1">SUM(L61:L64)</f>
        <v>375701.4547776141</v>
      </c>
      <c r="M65" s="93">
        <f ca="1">SUM(M61:M64)</f>
        <v>489374.10372978804</v>
      </c>
    </row>
    <row r="66" spans="1:13" ht="13.2" customHeight="1" x14ac:dyDescent="0.25">
      <c r="A66" s="74"/>
      <c r="B66" s="82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</row>
    <row r="67" spans="1:13" ht="13.2" customHeight="1" x14ac:dyDescent="0.25">
      <c r="A67" s="74"/>
      <c r="B67" s="82" t="s">
        <v>78</v>
      </c>
      <c r="C67" s="74"/>
      <c r="D67" s="74"/>
      <c r="E67" s="74"/>
      <c r="F67" s="74"/>
      <c r="G67" s="74">
        <f t="shared" ref="G67:H67" si="21">+G51-SUM(G59,G65)</f>
        <v>0</v>
      </c>
      <c r="H67" s="74">
        <f t="shared" si="21"/>
        <v>0</v>
      </c>
      <c r="I67" s="74">
        <f ca="1">+I51-SUM(I59,I65)</f>
        <v>0</v>
      </c>
      <c r="J67" s="74">
        <f ca="1">+J51-SUM(J59,J65)</f>
        <v>0</v>
      </c>
      <c r="K67" s="74">
        <f ca="1">+K51-SUM(K59,K65)</f>
        <v>0</v>
      </c>
      <c r="L67" s="74">
        <f ca="1">+L51-SUM(L59,L65)</f>
        <v>0</v>
      </c>
      <c r="M67" s="74">
        <f ca="1">+M51-SUM(M59,M65)</f>
        <v>0</v>
      </c>
    </row>
    <row r="68" spans="1:13" ht="13.2" customHeight="1" x14ac:dyDescent="0.25">
      <c r="A68" s="74"/>
      <c r="B68" s="82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</row>
    <row r="69" spans="1:13" ht="13.2" customHeight="1" x14ac:dyDescent="0.25">
      <c r="A69" s="101"/>
      <c r="B69" s="139" t="s">
        <v>79</v>
      </c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</row>
    <row r="70" spans="1:13" ht="13.2" customHeight="1" x14ac:dyDescent="0.25">
      <c r="A70" s="74"/>
      <c r="B70" s="78" t="s">
        <v>80</v>
      </c>
      <c r="C70" s="76"/>
      <c r="D70" s="76"/>
      <c r="E70" s="76"/>
      <c r="F70" s="76"/>
      <c r="G70" s="112">
        <f>-G46/G10*365</f>
        <v>37.226379834295585</v>
      </c>
      <c r="H70" s="113">
        <f>-H46/H10*365</f>
        <v>43.744675851129458</v>
      </c>
      <c r="I70" s="114">
        <v>42</v>
      </c>
      <c r="J70" s="112">
        <v>45</v>
      </c>
      <c r="K70" s="112">
        <f t="shared" ref="K70:L74" ca="1" si="22">+J70-($I70-$M70)/COUNTA($J70:$M70)</f>
        <v>43.5</v>
      </c>
      <c r="L70" s="112">
        <f t="shared" ca="1" si="22"/>
        <v>42</v>
      </c>
      <c r="M70" s="114">
        <v>36</v>
      </c>
    </row>
    <row r="71" spans="1:13" ht="13.2" customHeight="1" x14ac:dyDescent="0.25">
      <c r="A71" s="74"/>
      <c r="B71" s="82" t="s">
        <v>81</v>
      </c>
      <c r="C71" s="74"/>
      <c r="D71" s="74"/>
      <c r="E71" s="74"/>
      <c r="F71" s="74"/>
      <c r="G71" s="115">
        <f>G47/G9*365</f>
        <v>23.202966347548593</v>
      </c>
      <c r="H71" s="116">
        <f>H47/H9*365</f>
        <v>25.552688039299991</v>
      </c>
      <c r="I71" s="117">
        <v>26</v>
      </c>
      <c r="J71" s="115">
        <f ca="1">+I71-($I71-$M71)/COUNTA($J71:$M71)</f>
        <v>25.5</v>
      </c>
      <c r="K71" s="115">
        <f t="shared" ca="1" si="22"/>
        <v>25</v>
      </c>
      <c r="L71" s="115">
        <f t="shared" ca="1" si="22"/>
        <v>24.5</v>
      </c>
      <c r="M71" s="117">
        <v>24</v>
      </c>
    </row>
    <row r="72" spans="1:13" ht="13.2" customHeight="1" x14ac:dyDescent="0.25">
      <c r="A72" s="74"/>
      <c r="B72" s="82" t="s">
        <v>82</v>
      </c>
      <c r="C72" s="74"/>
      <c r="D72" s="74"/>
      <c r="E72" s="74"/>
      <c r="F72" s="74"/>
      <c r="G72" s="115">
        <f>-G54/G10*365</f>
        <v>113.48452896826929</v>
      </c>
      <c r="H72" s="116">
        <f>-H54/H10*365</f>
        <v>105.42681314807743</v>
      </c>
      <c r="I72" s="117">
        <v>95</v>
      </c>
      <c r="J72" s="115">
        <f ca="1">+I72-($I72-$M72)/COUNTA($J72:$M72)</f>
        <v>96.25</v>
      </c>
      <c r="K72" s="115">
        <f t="shared" ca="1" si="22"/>
        <v>97.5</v>
      </c>
      <c r="L72" s="115">
        <f t="shared" ca="1" si="22"/>
        <v>98.75</v>
      </c>
      <c r="M72" s="117">
        <v>100</v>
      </c>
    </row>
    <row r="73" spans="1:13" ht="13.2" customHeight="1" x14ac:dyDescent="0.25">
      <c r="A73" s="74"/>
      <c r="B73" s="82" t="s">
        <v>83</v>
      </c>
      <c r="C73" s="74"/>
      <c r="D73" s="74"/>
      <c r="E73" s="74"/>
      <c r="F73" s="74"/>
      <c r="G73" s="106">
        <f>G55/G$9</f>
        <v>0.11432819428902979</v>
      </c>
      <c r="H73" s="107">
        <f>H55/H$9</f>
        <v>0.11020131028346906</v>
      </c>
      <c r="I73" s="108">
        <v>0.1</v>
      </c>
      <c r="J73" s="106">
        <f ca="1">+I73-($I73-$M73)/COUNTA($J73:$M73)</f>
        <v>9.5000000000000001E-2</v>
      </c>
      <c r="K73" s="106">
        <f t="shared" ca="1" si="22"/>
        <v>0.09</v>
      </c>
      <c r="L73" s="106">
        <f t="shared" ca="1" si="22"/>
        <v>8.4999999999999992E-2</v>
      </c>
      <c r="M73" s="108">
        <v>0.08</v>
      </c>
    </row>
    <row r="74" spans="1:13" ht="13.2" customHeight="1" x14ac:dyDescent="0.25">
      <c r="A74" s="74"/>
      <c r="B74" s="82" t="s">
        <v>84</v>
      </c>
      <c r="C74" s="74"/>
      <c r="D74" s="74"/>
      <c r="E74" s="74"/>
      <c r="F74" s="74"/>
      <c r="G74" s="106">
        <f>G56/G$9</f>
        <v>2.5146089767499689E-2</v>
      </c>
      <c r="H74" s="107">
        <f>H56/H$9</f>
        <v>2.5173363529166364E-2</v>
      </c>
      <c r="I74" s="108">
        <v>2.5000000000000001E-2</v>
      </c>
      <c r="J74" s="106">
        <f ca="1">+I74-($I74-$M74)/COUNTA($J74:$M74)</f>
        <v>2.1250000000000002E-2</v>
      </c>
      <c r="K74" s="106">
        <f t="shared" ca="1" si="22"/>
        <v>1.7500000000000002E-2</v>
      </c>
      <c r="L74" s="106">
        <f t="shared" ca="1" si="22"/>
        <v>1.3750000000000002E-2</v>
      </c>
      <c r="M74" s="108">
        <v>0.01</v>
      </c>
    </row>
    <row r="75" spans="1:13" ht="13.2" customHeight="1" x14ac:dyDescent="0.25">
      <c r="A75" s="74"/>
      <c r="B75" s="82" t="s">
        <v>85</v>
      </c>
      <c r="C75" s="74"/>
      <c r="D75" s="74"/>
      <c r="E75" s="74"/>
      <c r="F75" s="74"/>
      <c r="G75" s="90">
        <f t="shared" ref="G75:M75" si="23">+SUM(G46:G47)-SUM(G54:G56)</f>
        <v>-78048</v>
      </c>
      <c r="H75" s="111">
        <f t="shared" si="23"/>
        <v>-76735</v>
      </c>
      <c r="I75" s="90">
        <f t="shared" si="23"/>
        <v>-74136.624416438368</v>
      </c>
      <c r="J75" s="90">
        <f t="shared" ca="1" si="23"/>
        <v>-79005.534610589035</v>
      </c>
      <c r="K75" s="90">
        <f t="shared" ca="1" si="23"/>
        <v>-87470.300851202745</v>
      </c>
      <c r="L75" s="90">
        <f t="shared" ca="1" si="23"/>
        <v>-92346.595086483372</v>
      </c>
      <c r="M75" s="90">
        <f t="shared" si="23"/>
        <v>-97799.618702590233</v>
      </c>
    </row>
    <row r="76" spans="1:13" ht="13.2" customHeight="1" x14ac:dyDescent="0.25">
      <c r="A76" s="74"/>
      <c r="B76" s="82" t="s">
        <v>86</v>
      </c>
      <c r="C76" s="74"/>
      <c r="D76" s="74"/>
      <c r="E76" s="74"/>
      <c r="F76" s="74"/>
      <c r="G76" s="74"/>
      <c r="H76" s="111">
        <f t="shared" ref="H76:I76" si="24">+G75-H75</f>
        <v>-1313</v>
      </c>
      <c r="I76" s="90">
        <f t="shared" si="24"/>
        <v>-2598.3755835616321</v>
      </c>
      <c r="J76" s="90">
        <f ca="1">+I75-J75</f>
        <v>4868.9101941506669</v>
      </c>
      <c r="K76" s="90">
        <f ca="1">+J75-K75</f>
        <v>8464.7662406137097</v>
      </c>
      <c r="L76" s="90">
        <f ca="1">+K75-L75</f>
        <v>4876.2942352806276</v>
      </c>
      <c r="M76" s="90">
        <f ca="1">+L75-M75</f>
        <v>5453.0236161068606</v>
      </c>
    </row>
    <row r="77" spans="1:13" ht="13.2" customHeight="1" x14ac:dyDescent="0.25">
      <c r="A77" s="74"/>
      <c r="B77" s="82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</row>
    <row r="78" spans="1:13" ht="13.2" customHeight="1" x14ac:dyDescent="0.25">
      <c r="A78" s="74" t="s">
        <v>20</v>
      </c>
      <c r="B78" s="132" t="s">
        <v>87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</row>
    <row r="79" spans="1:13" ht="13.2" customHeight="1" x14ac:dyDescent="0.25">
      <c r="A79" s="74"/>
      <c r="B79" s="133" t="s">
        <v>7</v>
      </c>
      <c r="C79" s="122"/>
      <c r="D79" s="122"/>
      <c r="E79" s="122"/>
      <c r="F79" s="122"/>
      <c r="G79" s="122"/>
      <c r="H79" s="147"/>
      <c r="I79" s="125">
        <f t="shared" ref="I79:M79" si="25">+I$7</f>
        <v>44926</v>
      </c>
      <c r="J79" s="125">
        <f t="shared" si="25"/>
        <v>45291</v>
      </c>
      <c r="K79" s="125">
        <f t="shared" si="25"/>
        <v>45657</v>
      </c>
      <c r="L79" s="125">
        <f t="shared" si="25"/>
        <v>46022</v>
      </c>
      <c r="M79" s="125">
        <f t="shared" si="25"/>
        <v>46387</v>
      </c>
    </row>
    <row r="80" spans="1:13" ht="13.2" customHeight="1" x14ac:dyDescent="0.25">
      <c r="A80" s="74"/>
      <c r="B80" s="82"/>
      <c r="C80" s="74"/>
      <c r="D80" s="74"/>
      <c r="E80" s="74"/>
      <c r="F80" s="74"/>
      <c r="G80" s="74"/>
      <c r="H80" s="86"/>
      <c r="I80" s="74"/>
      <c r="J80" s="74"/>
      <c r="K80" s="74"/>
      <c r="L80" s="74"/>
      <c r="M80" s="74"/>
    </row>
    <row r="81" spans="1:13" ht="13.2" customHeight="1" x14ac:dyDescent="0.25">
      <c r="A81" s="74"/>
      <c r="B81" s="82" t="s">
        <v>8</v>
      </c>
      <c r="C81" s="74"/>
      <c r="D81" s="74"/>
      <c r="E81" s="74"/>
      <c r="F81" s="74"/>
      <c r="G81" s="74"/>
      <c r="H81" s="86"/>
      <c r="I81" s="90">
        <f ca="1">+I22</f>
        <v>15901.859546464826</v>
      </c>
      <c r="J81" s="90">
        <f ca="1">+J22</f>
        <v>32403.712417129122</v>
      </c>
      <c r="K81" s="90">
        <f ca="1">+K22</f>
        <v>53180.226656243845</v>
      </c>
      <c r="L81" s="90">
        <f ca="1">+L22</f>
        <v>75915.492220966335</v>
      </c>
      <c r="M81" s="90">
        <f ca="1">+M22</f>
        <v>97465.220654128323</v>
      </c>
    </row>
    <row r="82" spans="1:13" ht="13.2" customHeight="1" x14ac:dyDescent="0.25">
      <c r="A82" s="74"/>
      <c r="B82" s="82" t="s">
        <v>88</v>
      </c>
      <c r="C82" s="74"/>
      <c r="D82" s="74"/>
      <c r="E82" s="74"/>
      <c r="F82" s="74"/>
      <c r="G82" s="74"/>
      <c r="H82" s="86"/>
      <c r="I82" s="74">
        <f>I113</f>
        <v>31572.038400000001</v>
      </c>
      <c r="J82" s="74">
        <f ca="1">J113</f>
        <v>37059.201120725003</v>
      </c>
      <c r="K82" s="74">
        <f ca="1">K113</f>
        <v>42166.45520125499</v>
      </c>
      <c r="L82" s="74">
        <f ca="1">L113</f>
        <v>45038.136202030117</v>
      </c>
      <c r="M82" s="74">
        <f>M113</f>
        <v>44773.020673350969</v>
      </c>
    </row>
    <row r="83" spans="1:13" ht="13.2" customHeight="1" x14ac:dyDescent="0.25">
      <c r="A83" s="74"/>
      <c r="B83" s="82" t="s">
        <v>89</v>
      </c>
      <c r="C83" s="74"/>
      <c r="D83" s="74"/>
      <c r="E83" s="74"/>
      <c r="F83" s="74"/>
      <c r="G83" s="74"/>
      <c r="H83" s="86"/>
      <c r="I83" s="74">
        <f>+I27</f>
        <v>13155.016000000001</v>
      </c>
      <c r="J83" s="74">
        <f ca="1">+J27</f>
        <v>14559.313958000001</v>
      </c>
      <c r="K83" s="74">
        <f ca="1">+K27</f>
        <v>15861.9894174</v>
      </c>
      <c r="L83" s="74">
        <f ca="1">+L27</f>
        <v>16478.844561409998</v>
      </c>
      <c r="M83" s="74">
        <f>+M27</f>
        <v>16207.428298045599</v>
      </c>
    </row>
    <row r="84" spans="1:13" ht="13.2" customHeight="1" x14ac:dyDescent="0.25">
      <c r="A84" s="74"/>
      <c r="B84" s="82" t="s">
        <v>90</v>
      </c>
      <c r="C84" s="74"/>
      <c r="D84" s="74"/>
      <c r="E84" s="74"/>
      <c r="F84" s="74"/>
      <c r="G84" s="74"/>
      <c r="H84" s="86"/>
      <c r="I84" s="74">
        <f>+I76</f>
        <v>-2598.3755835616321</v>
      </c>
      <c r="J84" s="74">
        <f ca="1">+J76</f>
        <v>4868.9101941506669</v>
      </c>
      <c r="K84" s="74">
        <f ca="1">+K76</f>
        <v>8464.7662406137097</v>
      </c>
      <c r="L84" s="74">
        <f ca="1">+L76</f>
        <v>4876.2942352806276</v>
      </c>
      <c r="M84" s="74">
        <f ca="1">+M76</f>
        <v>5453.0236161068606</v>
      </c>
    </row>
    <row r="85" spans="1:13" ht="13.2" customHeight="1" x14ac:dyDescent="0.25">
      <c r="A85" s="74"/>
      <c r="B85" s="82" t="s">
        <v>91</v>
      </c>
      <c r="C85" s="74"/>
      <c r="D85" s="74"/>
      <c r="E85" s="74"/>
      <c r="F85" s="74"/>
      <c r="G85" s="74"/>
      <c r="H85" s="86"/>
      <c r="I85" s="74">
        <f>+H50-I50</f>
        <v>0</v>
      </c>
      <c r="J85" s="74">
        <f>+I50-J50</f>
        <v>0</v>
      </c>
      <c r="K85" s="74">
        <f>+J50-K50</f>
        <v>0</v>
      </c>
      <c r="L85" s="74">
        <f>+K50-L50</f>
        <v>0</v>
      </c>
      <c r="M85" s="74">
        <f>+L50-M50</f>
        <v>0</v>
      </c>
    </row>
    <row r="86" spans="1:13" ht="13.2" customHeight="1" x14ac:dyDescent="0.25">
      <c r="A86" s="74"/>
      <c r="B86" s="82" t="s">
        <v>92</v>
      </c>
      <c r="C86" s="74"/>
      <c r="D86" s="74"/>
      <c r="E86" s="74"/>
      <c r="F86" s="74"/>
      <c r="G86" s="74"/>
      <c r="H86" s="86"/>
      <c r="I86" s="74">
        <f>+I58-H58</f>
        <v>0</v>
      </c>
      <c r="J86" s="74">
        <f>+J58-I58</f>
        <v>0</v>
      </c>
      <c r="K86" s="74">
        <f>+K58-J58</f>
        <v>0</v>
      </c>
      <c r="L86" s="74">
        <f>+L58-K58</f>
        <v>0</v>
      </c>
      <c r="M86" s="74">
        <f>+M58-L58</f>
        <v>0</v>
      </c>
    </row>
    <row r="87" spans="1:13" ht="13.2" customHeight="1" x14ac:dyDescent="0.25">
      <c r="A87" s="101"/>
      <c r="B87" s="138" t="s">
        <v>93</v>
      </c>
      <c r="C87" s="85"/>
      <c r="D87" s="85"/>
      <c r="E87" s="85"/>
      <c r="F87" s="85"/>
      <c r="G87" s="85"/>
      <c r="H87" s="118"/>
      <c r="I87" s="93">
        <f ca="1">SUM(I81:I86)</f>
        <v>58030.5383629032</v>
      </c>
      <c r="J87" s="93">
        <f ca="1">SUM(J81:J86)</f>
        <v>88891.137690004791</v>
      </c>
      <c r="K87" s="93">
        <f ca="1">SUM(K81:K86)</f>
        <v>119673.43751551255</v>
      </c>
      <c r="L87" s="93">
        <f ca="1">SUM(L81:L86)</f>
        <v>142308.76721968708</v>
      </c>
      <c r="M87" s="93">
        <f ca="1">SUM(M81:M86)</f>
        <v>163898.69324163176</v>
      </c>
    </row>
    <row r="88" spans="1:13" ht="13.2" customHeight="1" x14ac:dyDescent="0.25">
      <c r="A88" s="74"/>
      <c r="B88" s="82"/>
      <c r="C88" s="74"/>
      <c r="D88" s="74"/>
      <c r="E88" s="74"/>
      <c r="F88" s="74"/>
      <c r="G88" s="74"/>
      <c r="H88" s="86"/>
      <c r="I88" s="74"/>
      <c r="J88" s="74"/>
      <c r="K88" s="74"/>
      <c r="L88" s="74"/>
      <c r="M88" s="74"/>
    </row>
    <row r="89" spans="1:13" ht="13.2" customHeight="1" x14ac:dyDescent="0.25">
      <c r="A89" s="74"/>
      <c r="B89" s="82" t="s">
        <v>94</v>
      </c>
      <c r="C89" s="74"/>
      <c r="D89" s="74"/>
      <c r="E89" s="74"/>
      <c r="F89" s="74"/>
      <c r="G89" s="74"/>
      <c r="H89" s="86"/>
      <c r="I89" s="90">
        <f>-I110</f>
        <v>-52620.064000000006</v>
      </c>
      <c r="J89" s="90">
        <f ca="1">-J110</f>
        <v>-55938.416786000002</v>
      </c>
      <c r="K89" s="90">
        <f ca="1">-K110</f>
        <v>-58160.627863799993</v>
      </c>
      <c r="L89" s="90">
        <f ca="1">-L110</f>
        <v>-57191.284066069988</v>
      </c>
      <c r="M89" s="90">
        <f>-M110</f>
        <v>-52674.141968648197</v>
      </c>
    </row>
    <row r="90" spans="1:13" ht="13.2" customHeight="1" x14ac:dyDescent="0.25">
      <c r="A90" s="101"/>
      <c r="B90" s="138" t="s">
        <v>95</v>
      </c>
      <c r="C90" s="85"/>
      <c r="D90" s="85"/>
      <c r="E90" s="85"/>
      <c r="F90" s="85"/>
      <c r="G90" s="85"/>
      <c r="H90" s="118"/>
      <c r="I90" s="93">
        <f>SUM(I89)</f>
        <v>-52620.064000000006</v>
      </c>
      <c r="J90" s="93">
        <f ca="1">SUM(J89)</f>
        <v>-55938.416786000002</v>
      </c>
      <c r="K90" s="93">
        <f ca="1">SUM(K89)</f>
        <v>-58160.627863799993</v>
      </c>
      <c r="L90" s="93">
        <f ca="1">SUM(L89)</f>
        <v>-57191.284066069988</v>
      </c>
      <c r="M90" s="93">
        <f>SUM(M89)</f>
        <v>-52674.141968648197</v>
      </c>
    </row>
    <row r="91" spans="1:13" ht="13.2" customHeight="1" x14ac:dyDescent="0.25">
      <c r="A91" s="74"/>
      <c r="B91" s="82"/>
      <c r="C91" s="74"/>
      <c r="D91" s="74"/>
      <c r="E91" s="74"/>
      <c r="F91" s="74"/>
      <c r="G91" s="74"/>
      <c r="H91" s="86"/>
      <c r="I91" s="74"/>
      <c r="J91" s="74"/>
      <c r="K91" s="74"/>
      <c r="L91" s="74"/>
      <c r="M91" s="74"/>
    </row>
    <row r="92" spans="1:13" ht="13.2" customHeight="1" x14ac:dyDescent="0.25">
      <c r="A92" s="74"/>
      <c r="B92" s="82" t="s">
        <v>96</v>
      </c>
      <c r="C92" s="74"/>
      <c r="D92" s="74"/>
      <c r="E92" s="74"/>
      <c r="F92" s="74"/>
      <c r="G92" s="74"/>
      <c r="H92" s="86"/>
      <c r="I92" s="74">
        <f ca="1">+I126</f>
        <v>0</v>
      </c>
      <c r="J92" s="74">
        <f ca="1">+J126</f>
        <v>0</v>
      </c>
      <c r="K92" s="74">
        <f ca="1">+K126</f>
        <v>0</v>
      </c>
      <c r="L92" s="74">
        <f ca="1">+L126</f>
        <v>0</v>
      </c>
      <c r="M92" s="74">
        <f ca="1">+M126</f>
        <v>0</v>
      </c>
    </row>
    <row r="93" spans="1:13" ht="13.2" customHeight="1" x14ac:dyDescent="0.25">
      <c r="A93" s="74"/>
      <c r="B93" s="82" t="s">
        <v>97</v>
      </c>
      <c r="C93" s="74"/>
      <c r="D93" s="74"/>
      <c r="E93" s="74"/>
      <c r="F93" s="74"/>
      <c r="G93" s="74"/>
      <c r="H93" s="86"/>
      <c r="I93" s="74">
        <f t="shared" ref="I93:M94" si="26">+I141</f>
        <v>-2327.9</v>
      </c>
      <c r="J93" s="74">
        <f t="shared" ca="1" si="26"/>
        <v>-2327.9</v>
      </c>
      <c r="K93" s="74">
        <f t="shared" ca="1" si="26"/>
        <v>-2327.9</v>
      </c>
      <c r="L93" s="74">
        <f t="shared" ca="1" si="26"/>
        <v>-2327.9</v>
      </c>
      <c r="M93" s="74">
        <f t="shared" ca="1" si="26"/>
        <v>-2327.9</v>
      </c>
    </row>
    <row r="94" spans="1:13" ht="13.2" customHeight="1" x14ac:dyDescent="0.25">
      <c r="A94" s="74"/>
      <c r="B94" s="82" t="s">
        <v>98</v>
      </c>
      <c r="C94" s="74"/>
      <c r="D94" s="74"/>
      <c r="E94" s="74"/>
      <c r="F94" s="74"/>
      <c r="G94" s="74"/>
      <c r="H94" s="86"/>
      <c r="I94" s="74">
        <f t="shared" ca="1" si="26"/>
        <v>0</v>
      </c>
      <c r="J94" s="74">
        <f t="shared" ca="1" si="26"/>
        <v>0</v>
      </c>
      <c r="K94" s="74">
        <f t="shared" ca="1" si="26"/>
        <v>0</v>
      </c>
      <c r="L94" s="74">
        <f t="shared" ca="1" si="26"/>
        <v>0</v>
      </c>
      <c r="M94" s="74">
        <f t="shared" ca="1" si="26"/>
        <v>0</v>
      </c>
    </row>
    <row r="95" spans="1:13" ht="13.2" customHeight="1" x14ac:dyDescent="0.25">
      <c r="A95" s="101"/>
      <c r="B95" s="138" t="s">
        <v>99</v>
      </c>
      <c r="C95" s="85"/>
      <c r="D95" s="85"/>
      <c r="E95" s="85"/>
      <c r="F95" s="85"/>
      <c r="G95" s="85"/>
      <c r="H95" s="118"/>
      <c r="I95" s="85">
        <f ca="1">SUM(I92:I94)</f>
        <v>-2327.9</v>
      </c>
      <c r="J95" s="85">
        <f ca="1">SUM(J92:J94)</f>
        <v>-2327.9</v>
      </c>
      <c r="K95" s="85">
        <f ca="1">SUM(K92:K94)</f>
        <v>-2327.9</v>
      </c>
      <c r="L95" s="85">
        <f ca="1">SUM(L92:L94)</f>
        <v>-2327.9</v>
      </c>
      <c r="M95" s="85">
        <f ca="1">SUM(M92:M94)</f>
        <v>-2327.9</v>
      </c>
    </row>
    <row r="96" spans="1:13" ht="13.2" customHeight="1" x14ac:dyDescent="0.25">
      <c r="A96" s="74"/>
      <c r="B96" s="82"/>
      <c r="C96" s="74"/>
      <c r="D96" s="74"/>
      <c r="E96" s="74"/>
      <c r="F96" s="74"/>
      <c r="G96" s="74"/>
      <c r="H96" s="86"/>
      <c r="I96" s="74"/>
      <c r="J96" s="74"/>
      <c r="K96" s="74"/>
      <c r="L96" s="74"/>
      <c r="M96" s="74"/>
    </row>
    <row r="97" spans="1:13" ht="13.2" customHeight="1" x14ac:dyDescent="0.25">
      <c r="A97" s="74"/>
      <c r="B97" s="82" t="s">
        <v>100</v>
      </c>
      <c r="C97" s="74"/>
      <c r="D97" s="74"/>
      <c r="E97" s="74"/>
      <c r="F97" s="74"/>
      <c r="G97" s="74"/>
      <c r="H97" s="86"/>
      <c r="I97" s="90">
        <f>+H45</f>
        <v>96049</v>
      </c>
      <c r="J97" s="90">
        <f ca="1">+I99</f>
        <v>99131.574362903193</v>
      </c>
      <c r="K97" s="90">
        <f ca="1">+J99</f>
        <v>129756.39526690799</v>
      </c>
      <c r="L97" s="90">
        <f ca="1">+K99</f>
        <v>188941.30491862053</v>
      </c>
      <c r="M97" s="90">
        <f ca="1">+L99</f>
        <v>271730.88807223761</v>
      </c>
    </row>
    <row r="98" spans="1:13" ht="13.2" customHeight="1" x14ac:dyDescent="0.25">
      <c r="A98" s="74"/>
      <c r="B98" s="82" t="s">
        <v>101</v>
      </c>
      <c r="C98" s="74"/>
      <c r="D98" s="74"/>
      <c r="E98" s="74"/>
      <c r="F98" s="74"/>
      <c r="G98" s="74"/>
      <c r="H98" s="86"/>
      <c r="I98" s="74">
        <f ca="1">+SUM(I87,I90,I95)</f>
        <v>3082.5743629031945</v>
      </c>
      <c r="J98" s="74">
        <f ca="1">+SUM(J87,J90,J95)</f>
        <v>30624.820904004788</v>
      </c>
      <c r="K98" s="74">
        <f ca="1">+SUM(K87,K90,K95)</f>
        <v>59184.909651712551</v>
      </c>
      <c r="L98" s="74">
        <f ca="1">+SUM(L87,L90,L95)</f>
        <v>82789.583153617103</v>
      </c>
      <c r="M98" s="74">
        <f ca="1">+SUM(M87,M90,M95)</f>
        <v>108896.65127298357</v>
      </c>
    </row>
    <row r="99" spans="1:13" ht="13.2" customHeight="1" x14ac:dyDescent="0.25">
      <c r="A99" s="101"/>
      <c r="B99" s="138" t="s">
        <v>102</v>
      </c>
      <c r="C99" s="85"/>
      <c r="D99" s="85"/>
      <c r="E99" s="85"/>
      <c r="F99" s="144" t="s">
        <v>170</v>
      </c>
      <c r="G99" s="85"/>
      <c r="H99" s="118"/>
      <c r="I99" s="93">
        <f ca="1">SUM(I97:I98)</f>
        <v>99131.574362903193</v>
      </c>
      <c r="J99" s="93">
        <f ca="1">SUM(J97:J98)</f>
        <v>129756.39526690799</v>
      </c>
      <c r="K99" s="93">
        <f ca="1">SUM(K97:K98)</f>
        <v>188941.30491862053</v>
      </c>
      <c r="L99" s="93">
        <f ca="1">SUM(L97:L98)</f>
        <v>271730.88807223761</v>
      </c>
      <c r="M99" s="93">
        <f ca="1">SUM(M97:M98)</f>
        <v>380627.53934522119</v>
      </c>
    </row>
    <row r="100" spans="1:13" ht="13.2" customHeight="1" x14ac:dyDescent="0.25">
      <c r="A100" s="74"/>
      <c r="B100" s="82" t="s">
        <v>103</v>
      </c>
      <c r="C100" s="74"/>
      <c r="D100" s="74"/>
      <c r="E100" s="74"/>
      <c r="F100" s="128">
        <v>2E-3</v>
      </c>
      <c r="H100" s="86"/>
      <c r="I100" s="90">
        <f ca="1">IF(Circ=0,0,$F$100*AVERAGE(I97,I99))</f>
        <v>195.1805743629032</v>
      </c>
      <c r="J100" s="90">
        <f ca="1">IF(Circ=0,0,$F$100*AVERAGE(J97,J99))</f>
        <v>228.88796962981118</v>
      </c>
      <c r="K100" s="90">
        <f ca="1">IF(Circ=0,0,$F$100*AVERAGE(K97,K99))</f>
        <v>318.6977001855285</v>
      </c>
      <c r="L100" s="90">
        <f ca="1">IF(Circ=0,0,$F$100*AVERAGE(L97,L99))</f>
        <v>460.67219299085809</v>
      </c>
      <c r="M100" s="90">
        <f ca="1">IF(Circ=0,0,$F$100*AVERAGE(M97,M99))</f>
        <v>652.35842741745876</v>
      </c>
    </row>
    <row r="101" spans="1:13" ht="13.2" customHeight="1" x14ac:dyDescent="0.25">
      <c r="A101" s="74"/>
      <c r="B101" s="82"/>
      <c r="C101" s="74"/>
      <c r="D101" s="74"/>
      <c r="E101" s="74"/>
      <c r="F101" s="101"/>
      <c r="G101" s="101"/>
      <c r="H101" s="101"/>
      <c r="I101" s="101"/>
      <c r="J101" s="101"/>
      <c r="K101" s="101"/>
      <c r="L101" s="74"/>
      <c r="M101" s="74"/>
    </row>
    <row r="102" spans="1:13" ht="13.2" customHeight="1" x14ac:dyDescent="0.25">
      <c r="A102" s="101"/>
      <c r="B102" s="139" t="s">
        <v>104</v>
      </c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</row>
    <row r="103" spans="1:13" ht="13.2" customHeight="1" x14ac:dyDescent="0.25">
      <c r="A103" s="74"/>
      <c r="B103" s="76"/>
      <c r="C103" s="76"/>
      <c r="D103" s="76"/>
      <c r="E103" s="76"/>
      <c r="F103" s="76"/>
      <c r="G103" s="76"/>
      <c r="H103" s="119"/>
      <c r="I103" s="76"/>
      <c r="J103" s="76"/>
      <c r="K103" s="76"/>
      <c r="L103" s="76"/>
      <c r="M103" s="76"/>
    </row>
    <row r="104" spans="1:13" ht="13.2" customHeight="1" x14ac:dyDescent="0.25">
      <c r="A104" s="74"/>
      <c r="B104" s="143" t="s">
        <v>105</v>
      </c>
      <c r="C104" s="74"/>
      <c r="D104" s="74"/>
      <c r="E104" s="74"/>
      <c r="F104" s="74"/>
      <c r="G104" s="74"/>
      <c r="H104" s="86"/>
      <c r="I104" s="74"/>
      <c r="J104" s="74"/>
      <c r="K104" s="74"/>
      <c r="L104" s="74"/>
      <c r="M104" s="74"/>
    </row>
    <row r="105" spans="1:13" ht="13.2" customHeight="1" x14ac:dyDescent="0.25">
      <c r="A105" s="74"/>
      <c r="B105" s="82" t="s">
        <v>106</v>
      </c>
      <c r="C105" s="74"/>
      <c r="D105" s="74"/>
      <c r="E105" s="74"/>
      <c r="F105" s="74"/>
      <c r="G105" s="74"/>
      <c r="H105" s="86"/>
      <c r="I105" s="90">
        <f>+H48</f>
        <v>160281</v>
      </c>
      <c r="J105" s="90">
        <f>+I108</f>
        <v>181329.02560000002</v>
      </c>
      <c r="K105" s="90">
        <f ca="1">+J108</f>
        <v>200208.24126527499</v>
      </c>
      <c r="L105" s="90">
        <f ca="1">+K108</f>
        <v>216202.41392781999</v>
      </c>
      <c r="M105" s="90">
        <f ca="1">+L108</f>
        <v>228355.56179185986</v>
      </c>
    </row>
    <row r="106" spans="1:13" ht="13.2" customHeight="1" x14ac:dyDescent="0.25">
      <c r="A106" s="74"/>
      <c r="B106" s="82" t="s">
        <v>107</v>
      </c>
      <c r="C106" s="74"/>
      <c r="D106" s="74"/>
      <c r="E106" s="74"/>
      <c r="F106" s="74"/>
      <c r="G106" s="74"/>
      <c r="H106" s="86"/>
      <c r="I106" s="74">
        <f>+I110</f>
        <v>52620.064000000006</v>
      </c>
      <c r="J106" s="74">
        <f ca="1">+J110</f>
        <v>55938.416786000002</v>
      </c>
      <c r="K106" s="74">
        <f ca="1">+K110</f>
        <v>58160.627863799993</v>
      </c>
      <c r="L106" s="74">
        <f ca="1">+L110</f>
        <v>57191.284066069988</v>
      </c>
      <c r="M106" s="74">
        <f>+M110</f>
        <v>52674.141968648197</v>
      </c>
    </row>
    <row r="107" spans="1:13" ht="13.2" customHeight="1" x14ac:dyDescent="0.25">
      <c r="A107" s="74"/>
      <c r="B107" s="82" t="s">
        <v>108</v>
      </c>
      <c r="C107" s="74"/>
      <c r="D107" s="74"/>
      <c r="E107" s="74"/>
      <c r="F107" s="74"/>
      <c r="G107" s="74"/>
      <c r="H107" s="86"/>
      <c r="I107" s="74">
        <f>-I113</f>
        <v>-31572.038400000001</v>
      </c>
      <c r="J107" s="74">
        <f ca="1">-J113</f>
        <v>-37059.201120725003</v>
      </c>
      <c r="K107" s="74">
        <f ca="1">-K113</f>
        <v>-42166.45520125499</v>
      </c>
      <c r="L107" s="74">
        <f ca="1">-L113</f>
        <v>-45038.136202030117</v>
      </c>
      <c r="M107" s="74">
        <f>-M113</f>
        <v>-44773.020673350969</v>
      </c>
    </row>
    <row r="108" spans="1:13" ht="13.2" customHeight="1" x14ac:dyDescent="0.25">
      <c r="A108" s="101"/>
      <c r="B108" s="138" t="s">
        <v>109</v>
      </c>
      <c r="C108" s="85"/>
      <c r="D108" s="85"/>
      <c r="E108" s="85"/>
      <c r="F108" s="85"/>
      <c r="G108" s="85"/>
      <c r="H108" s="118"/>
      <c r="I108" s="93">
        <f>SUM(I105:I107)</f>
        <v>181329.02560000002</v>
      </c>
      <c r="J108" s="93">
        <f ca="1">SUM(J105:J107)</f>
        <v>200208.24126527499</v>
      </c>
      <c r="K108" s="93">
        <f ca="1">SUM(K105:K107)</f>
        <v>216202.41392781999</v>
      </c>
      <c r="L108" s="93">
        <f ca="1">SUM(L105:L107)</f>
        <v>228355.56179185986</v>
      </c>
      <c r="M108" s="93">
        <f ca="1">SUM(M105:M107)</f>
        <v>236256.68308715709</v>
      </c>
    </row>
    <row r="109" spans="1:13" ht="13.2" customHeight="1" x14ac:dyDescent="0.25">
      <c r="A109" s="74"/>
      <c r="B109" s="82"/>
      <c r="C109" s="74"/>
      <c r="D109" s="74"/>
      <c r="E109" s="74"/>
      <c r="F109" s="74"/>
      <c r="G109" s="74"/>
      <c r="H109" s="86"/>
      <c r="I109" s="74"/>
      <c r="J109" s="74"/>
      <c r="K109" s="74"/>
      <c r="L109" s="74"/>
      <c r="M109" s="74"/>
    </row>
    <row r="110" spans="1:13" ht="13.2" customHeight="1" x14ac:dyDescent="0.25">
      <c r="A110" s="74"/>
      <c r="B110" s="82" t="s">
        <v>17</v>
      </c>
      <c r="C110" s="74"/>
      <c r="D110" s="74"/>
      <c r="E110" s="74"/>
      <c r="F110" s="88">
        <v>16861</v>
      </c>
      <c r="G110" s="88">
        <v>40140</v>
      </c>
      <c r="H110" s="89">
        <v>61053</v>
      </c>
      <c r="I110" s="90">
        <f>+I111*I9</f>
        <v>52620.064000000006</v>
      </c>
      <c r="J110" s="90">
        <f ca="1">+J111*J9</f>
        <v>55938.416786000002</v>
      </c>
      <c r="K110" s="90">
        <f ca="1">+K111*K9</f>
        <v>58160.627863799993</v>
      </c>
      <c r="L110" s="90">
        <f ca="1">+L111*L9</f>
        <v>57191.284066069988</v>
      </c>
      <c r="M110" s="90">
        <f>+M111*M9</f>
        <v>52674.141968648197</v>
      </c>
    </row>
    <row r="111" spans="1:13" ht="13.2" customHeight="1" x14ac:dyDescent="0.25">
      <c r="A111" s="74"/>
      <c r="B111" s="82" t="s">
        <v>110</v>
      </c>
      <c r="C111" s="74"/>
      <c r="D111" s="74"/>
      <c r="E111" s="74"/>
      <c r="F111" s="106">
        <f>F110/F9</f>
        <v>6.0105802753438235E-2</v>
      </c>
      <c r="G111" s="106">
        <f>G110/G9</f>
        <v>0.10397239835882134</v>
      </c>
      <c r="H111" s="107">
        <f>H110/H9</f>
        <v>0.12994921480901278</v>
      </c>
      <c r="I111" s="108">
        <v>0.1</v>
      </c>
      <c r="J111" s="106">
        <f ca="1">+I111-($I111-$M111)/COUNTA($J111:$M111)</f>
        <v>9.1249999999999998E-2</v>
      </c>
      <c r="K111" s="106">
        <f ca="1">+J111-($I111-$M111)/COUNTA($J111:$M111)</f>
        <v>8.249999999999999E-2</v>
      </c>
      <c r="L111" s="106">
        <f ca="1">+K111-($I111-$M111)/COUNTA($J111:$M111)</f>
        <v>7.3749999999999982E-2</v>
      </c>
      <c r="M111" s="108">
        <v>6.5000000000000002E-2</v>
      </c>
    </row>
    <row r="112" spans="1:13" ht="13.2" customHeight="1" x14ac:dyDescent="0.25">
      <c r="A112" s="74"/>
      <c r="B112" s="82"/>
      <c r="C112" s="74"/>
      <c r="D112" s="74"/>
      <c r="E112" s="74"/>
      <c r="F112" s="81"/>
      <c r="G112" s="81"/>
      <c r="H112" s="91"/>
      <c r="I112" s="74"/>
      <c r="J112" s="74"/>
      <c r="K112" s="74"/>
      <c r="L112" s="74"/>
      <c r="M112" s="74"/>
    </row>
    <row r="113" spans="1:13" ht="13.2" customHeight="1" x14ac:dyDescent="0.25">
      <c r="A113" s="74"/>
      <c r="B113" s="82" t="s">
        <v>88</v>
      </c>
      <c r="C113" s="74"/>
      <c r="D113" s="74"/>
      <c r="E113" s="74"/>
      <c r="F113" s="90">
        <f>+F26</f>
        <v>21789</v>
      </c>
      <c r="G113" s="90">
        <f>+G26</f>
        <v>25251</v>
      </c>
      <c r="H113" s="111">
        <f>+H26</f>
        <v>34296</v>
      </c>
      <c r="I113" s="90">
        <f>I114*I110</f>
        <v>31572.038400000001</v>
      </c>
      <c r="J113" s="90">
        <f ca="1">J114*J110</f>
        <v>37059.201120725003</v>
      </c>
      <c r="K113" s="90">
        <f ca="1">K114*K110</f>
        <v>42166.45520125499</v>
      </c>
      <c r="L113" s="90">
        <f ca="1">L114*L110</f>
        <v>45038.136202030117</v>
      </c>
      <c r="M113" s="90">
        <f>M114*M110</f>
        <v>44773.020673350969</v>
      </c>
    </row>
    <row r="114" spans="1:13" ht="13.2" customHeight="1" x14ac:dyDescent="0.25">
      <c r="A114" s="74"/>
      <c r="B114" s="82" t="s">
        <v>111</v>
      </c>
      <c r="C114" s="74"/>
      <c r="D114" s="74"/>
      <c r="E114" s="74"/>
      <c r="F114" s="106">
        <f>F113/F110</f>
        <v>1.2922721072297016</v>
      </c>
      <c r="G114" s="106">
        <f>G113/G110</f>
        <v>0.62907324364723471</v>
      </c>
      <c r="H114" s="107">
        <f>H113/H110</f>
        <v>0.56174143776718588</v>
      </c>
      <c r="I114" s="108">
        <v>0.6</v>
      </c>
      <c r="J114" s="106">
        <f ca="1">+I114-($I114-$M114)/COUNTA($J114:$M114)</f>
        <v>0.66249999999999998</v>
      </c>
      <c r="K114" s="106">
        <f ca="1">+J114-($I114-$M114)/COUNTA($J114:$M114)</f>
        <v>0.72499999999999998</v>
      </c>
      <c r="L114" s="106">
        <f ca="1">+K114-($I114-$M114)/COUNTA($J114:$M114)</f>
        <v>0.78749999999999998</v>
      </c>
      <c r="M114" s="108">
        <v>0.85</v>
      </c>
    </row>
    <row r="115" spans="1:13" ht="13.2" customHeight="1" x14ac:dyDescent="0.25">
      <c r="A115" s="74"/>
      <c r="B115" s="82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</row>
    <row r="116" spans="1:13" ht="13.2" customHeight="1" x14ac:dyDescent="0.25">
      <c r="A116" s="74" t="s">
        <v>20</v>
      </c>
      <c r="B116" s="132" t="s">
        <v>112</v>
      </c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</row>
    <row r="117" spans="1:13" ht="13.2" customHeight="1" x14ac:dyDescent="0.25">
      <c r="A117" s="74"/>
      <c r="B117" s="133" t="s">
        <v>7</v>
      </c>
      <c r="C117" s="122"/>
      <c r="D117" s="122"/>
      <c r="E117" s="122"/>
      <c r="F117" s="122"/>
      <c r="G117" s="122"/>
      <c r="H117" s="147"/>
      <c r="I117" s="125">
        <f t="shared" ref="I117:M117" si="27">+I$7</f>
        <v>44926</v>
      </c>
      <c r="J117" s="125">
        <f t="shared" si="27"/>
        <v>45291</v>
      </c>
      <c r="K117" s="125">
        <f t="shared" si="27"/>
        <v>45657</v>
      </c>
      <c r="L117" s="125">
        <f t="shared" si="27"/>
        <v>46022</v>
      </c>
      <c r="M117" s="125">
        <f t="shared" si="27"/>
        <v>46387</v>
      </c>
    </row>
    <row r="118" spans="1:13" ht="13.2" customHeight="1" x14ac:dyDescent="0.25">
      <c r="A118" s="74"/>
      <c r="B118" s="82"/>
      <c r="C118" s="74"/>
      <c r="D118" s="74"/>
      <c r="E118" s="74"/>
      <c r="F118" s="74"/>
      <c r="G118" s="74"/>
      <c r="H118" s="86"/>
      <c r="I118" s="74"/>
      <c r="J118" s="74"/>
      <c r="K118" s="74"/>
      <c r="L118" s="74"/>
      <c r="M118" s="74"/>
    </row>
    <row r="119" spans="1:13" ht="13.2" customHeight="1" x14ac:dyDescent="0.25">
      <c r="A119" s="74"/>
      <c r="B119" s="82" t="s">
        <v>100</v>
      </c>
      <c r="C119" s="74"/>
      <c r="D119" s="74"/>
      <c r="E119" s="74"/>
      <c r="F119" s="74"/>
      <c r="G119" s="74"/>
      <c r="H119" s="86"/>
      <c r="I119" s="90">
        <f>+I97</f>
        <v>96049</v>
      </c>
      <c r="J119" s="90">
        <f ca="1">+J97</f>
        <v>99131.574362903193</v>
      </c>
      <c r="K119" s="90">
        <f ca="1">+K97</f>
        <v>129756.39526690799</v>
      </c>
      <c r="L119" s="90">
        <f ca="1">+L97</f>
        <v>188941.30491862053</v>
      </c>
      <c r="M119" s="90">
        <f ca="1">+M97</f>
        <v>271730.88807223761</v>
      </c>
    </row>
    <row r="120" spans="1:13" ht="13.2" customHeight="1" x14ac:dyDescent="0.25">
      <c r="A120" s="74"/>
      <c r="B120" s="82" t="s">
        <v>113</v>
      </c>
      <c r="C120" s="74"/>
      <c r="D120" s="74"/>
      <c r="E120" s="74"/>
      <c r="F120" s="74"/>
      <c r="G120" s="74"/>
      <c r="H120" s="86"/>
      <c r="I120" s="74">
        <f ca="1">+SUM(I87,I89,I93)</f>
        <v>3082.5743629031945</v>
      </c>
      <c r="J120" s="74">
        <f ca="1">+SUM(J87,J89,J93)</f>
        <v>30624.820904004788</v>
      </c>
      <c r="K120" s="74">
        <f ca="1">+SUM(K87,K89,K93)</f>
        <v>59184.909651712551</v>
      </c>
      <c r="L120" s="74">
        <f ca="1">+SUM(L87,L89,L93)</f>
        <v>82789.583153617103</v>
      </c>
      <c r="M120" s="74">
        <f ca="1">+SUM(M87,M89,M93)</f>
        <v>108896.65127298357</v>
      </c>
    </row>
    <row r="121" spans="1:13" ht="13.2" customHeight="1" x14ac:dyDescent="0.25">
      <c r="A121" s="74"/>
      <c r="B121" s="82" t="s">
        <v>114</v>
      </c>
      <c r="C121" s="74"/>
      <c r="D121" s="74"/>
      <c r="E121" s="74"/>
      <c r="F121" s="74"/>
      <c r="G121" s="74"/>
      <c r="H121" s="86"/>
      <c r="I121" s="81">
        <v>-5000</v>
      </c>
      <c r="J121" s="74">
        <f>+I121</f>
        <v>-5000</v>
      </c>
      <c r="K121" s="74">
        <f>+J121</f>
        <v>-5000</v>
      </c>
      <c r="L121" s="74">
        <f>+K121</f>
        <v>-5000</v>
      </c>
      <c r="M121" s="74">
        <f>+L121</f>
        <v>-5000</v>
      </c>
    </row>
    <row r="122" spans="1:13" ht="13.2" customHeight="1" x14ac:dyDescent="0.25">
      <c r="A122" s="101"/>
      <c r="B122" s="138" t="s">
        <v>115</v>
      </c>
      <c r="C122" s="85"/>
      <c r="D122" s="85"/>
      <c r="E122" s="85"/>
      <c r="F122" s="85"/>
      <c r="G122" s="85"/>
      <c r="H122" s="118"/>
      <c r="I122" s="93">
        <f ca="1">SUM(I119:I121)</f>
        <v>94131.574362903193</v>
      </c>
      <c r="J122" s="93">
        <f ca="1">SUM(J119:J121)</f>
        <v>124756.39526690799</v>
      </c>
      <c r="K122" s="93">
        <f ca="1">SUM(K119:K121)</f>
        <v>183941.30491862053</v>
      </c>
      <c r="L122" s="93">
        <f ca="1">SUM(L119:L121)</f>
        <v>266730.88807223761</v>
      </c>
      <c r="M122" s="93">
        <f ca="1">SUM(M119:M121)</f>
        <v>375627.53934522119</v>
      </c>
    </row>
    <row r="123" spans="1:13" ht="13.2" customHeight="1" x14ac:dyDescent="0.25">
      <c r="A123" s="74"/>
      <c r="B123" s="82"/>
      <c r="C123" s="74"/>
      <c r="D123" s="74"/>
      <c r="E123" s="74"/>
      <c r="F123" s="74"/>
      <c r="G123" s="74"/>
      <c r="H123" s="86"/>
      <c r="I123" s="74"/>
      <c r="J123" s="74"/>
      <c r="K123" s="74"/>
      <c r="L123" s="74"/>
      <c r="M123" s="74"/>
    </row>
    <row r="124" spans="1:13" ht="13.2" customHeight="1" x14ac:dyDescent="0.25">
      <c r="A124" s="74"/>
      <c r="B124" s="143" t="s">
        <v>116</v>
      </c>
      <c r="C124" s="74"/>
      <c r="D124" s="74"/>
      <c r="E124" s="74"/>
      <c r="F124" s="74"/>
      <c r="G124" s="74"/>
      <c r="H124" s="86"/>
      <c r="I124" s="74"/>
      <c r="J124" s="74"/>
      <c r="K124" s="74"/>
      <c r="L124" s="74"/>
      <c r="M124" s="74"/>
    </row>
    <row r="125" spans="1:13" ht="13.2" customHeight="1" x14ac:dyDescent="0.25">
      <c r="A125" s="74"/>
      <c r="B125" s="82" t="s">
        <v>106</v>
      </c>
      <c r="C125" s="74"/>
      <c r="D125" s="74"/>
      <c r="E125" s="74"/>
      <c r="F125" s="74"/>
      <c r="G125" s="74"/>
      <c r="H125" s="86"/>
      <c r="I125" s="90">
        <f>+H53</f>
        <v>0</v>
      </c>
      <c r="J125" s="90">
        <f ca="1">+I127</f>
        <v>0</v>
      </c>
      <c r="K125" s="90">
        <f t="shared" ref="K125:M125" ca="1" si="28">+J127</f>
        <v>0</v>
      </c>
      <c r="L125" s="90">
        <f t="shared" ca="1" si="28"/>
        <v>0</v>
      </c>
      <c r="M125" s="90">
        <f t="shared" ca="1" si="28"/>
        <v>0</v>
      </c>
    </row>
    <row r="126" spans="1:13" ht="13.2" customHeight="1" x14ac:dyDescent="0.25">
      <c r="A126" s="74"/>
      <c r="B126" s="82" t="s">
        <v>117</v>
      </c>
      <c r="C126" s="74"/>
      <c r="D126" s="74"/>
      <c r="E126" s="74"/>
      <c r="F126" s="74"/>
      <c r="G126" s="74"/>
      <c r="H126" s="86"/>
      <c r="I126" s="74">
        <f ca="1">+MIN((I131+I134),-MIN(I122,I125))</f>
        <v>0</v>
      </c>
      <c r="J126" s="74">
        <f t="shared" ref="J126:M126" ca="1" si="29">+MIN((J131+J134),-MIN(J122,J125))</f>
        <v>0</v>
      </c>
      <c r="K126" s="74">
        <f t="shared" ca="1" si="29"/>
        <v>0</v>
      </c>
      <c r="L126" s="74">
        <f t="shared" ca="1" si="29"/>
        <v>0</v>
      </c>
      <c r="M126" s="74">
        <f t="shared" ca="1" si="29"/>
        <v>0</v>
      </c>
    </row>
    <row r="127" spans="1:13" ht="13.2" customHeight="1" x14ac:dyDescent="0.25">
      <c r="A127" s="101"/>
      <c r="B127" s="138" t="s">
        <v>109</v>
      </c>
      <c r="C127" s="85"/>
      <c r="D127" s="85"/>
      <c r="E127" s="34"/>
      <c r="F127" s="144" t="s">
        <v>170</v>
      </c>
      <c r="G127" s="34"/>
      <c r="H127" s="118"/>
      <c r="I127" s="93">
        <f ca="1">SUM(I125:I126)</f>
        <v>0</v>
      </c>
      <c r="J127" s="93">
        <f ca="1">SUM(J125:J126)</f>
        <v>0</v>
      </c>
      <c r="K127" s="93">
        <f ca="1">SUM(K125:K126)</f>
        <v>0</v>
      </c>
      <c r="L127" s="93">
        <f ca="1">SUM(L125:L126)</f>
        <v>0</v>
      </c>
      <c r="M127" s="93">
        <f ca="1">SUM(M125:M126)</f>
        <v>0</v>
      </c>
    </row>
    <row r="128" spans="1:13" ht="13.2" customHeight="1" x14ac:dyDescent="0.25">
      <c r="A128" s="101"/>
      <c r="B128" s="82" t="s">
        <v>118</v>
      </c>
      <c r="C128" s="101"/>
      <c r="D128" s="101"/>
      <c r="E128" s="101"/>
      <c r="F128" s="128">
        <v>0.02</v>
      </c>
      <c r="H128" s="110"/>
      <c r="I128" s="90">
        <f ca="1">+IF(Circ=0,0,$F$128*AVERAGE(I125,I127))</f>
        <v>0</v>
      </c>
      <c r="J128" s="90">
        <f ca="1">+IF(Circ=0,0,$F$128*AVERAGE(J125,J127))</f>
        <v>0</v>
      </c>
      <c r="K128" s="90">
        <f ca="1">+IF(Circ=0,0,$F$128*AVERAGE(K125,K127))</f>
        <v>0</v>
      </c>
      <c r="L128" s="90">
        <f ca="1">+IF(Circ=0,0,$F$128*AVERAGE(L125,L127))</f>
        <v>0</v>
      </c>
      <c r="M128" s="90">
        <f ca="1">+IF(Circ=0,0,$F$128*AVERAGE(M125,M127))</f>
        <v>0</v>
      </c>
    </row>
    <row r="129" spans="1:13" ht="13.2" customHeight="1" x14ac:dyDescent="0.25">
      <c r="A129" s="101"/>
      <c r="B129" s="82"/>
      <c r="C129" s="101"/>
      <c r="D129" s="101"/>
      <c r="E129" s="130"/>
      <c r="H129" s="110"/>
      <c r="I129" s="74"/>
      <c r="J129" s="74"/>
      <c r="K129" s="74"/>
      <c r="L129" s="74"/>
      <c r="M129" s="74"/>
    </row>
    <row r="130" spans="1:13" ht="13.2" customHeight="1" x14ac:dyDescent="0.25">
      <c r="A130" s="74"/>
      <c r="B130" s="82" t="s">
        <v>171</v>
      </c>
      <c r="C130" s="74"/>
      <c r="D130" s="74"/>
      <c r="F130" s="30" t="s">
        <v>174</v>
      </c>
      <c r="G130" s="127" t="s">
        <v>173</v>
      </c>
      <c r="H130" s="86"/>
      <c r="I130" s="90">
        <f ca="1">+IF(Circ=0,0,$G$131*AVERAGE(I131:I132))</f>
        <v>5</v>
      </c>
      <c r="J130" s="90">
        <f ca="1">+IF(Circ=0,0,$G$131*AVERAGE(J131:J132))</f>
        <v>5</v>
      </c>
      <c r="K130" s="90">
        <f ca="1">+IF(Circ=0,0,$G$131*AVERAGE(K131:K132))</f>
        <v>5</v>
      </c>
      <c r="L130" s="90">
        <f ca="1">+IF(Circ=0,0,$G$131*AVERAGE(L131:L132))</f>
        <v>5</v>
      </c>
      <c r="M130" s="90">
        <f ca="1">+IF(Circ=0,0,$G$131*AVERAGE(M131:M132))</f>
        <v>5</v>
      </c>
    </row>
    <row r="131" spans="1:13" ht="13.2" customHeight="1" x14ac:dyDescent="0.25">
      <c r="A131" s="74"/>
      <c r="B131" s="142" t="s">
        <v>119</v>
      </c>
      <c r="C131" s="74"/>
      <c r="D131" s="74"/>
      <c r="F131" s="120">
        <v>1000</v>
      </c>
      <c r="G131" s="128">
        <v>5.0000000000000001E-3</v>
      </c>
      <c r="H131" s="86"/>
      <c r="I131" s="90">
        <f>+$F$131-I125</f>
        <v>1000</v>
      </c>
      <c r="J131" s="90">
        <f ca="1">+$F$131-J125</f>
        <v>1000</v>
      </c>
      <c r="K131" s="90">
        <f ca="1">+$F$131-K125</f>
        <v>1000</v>
      </c>
      <c r="L131" s="90">
        <f ca="1">+$F$131-L125</f>
        <v>1000</v>
      </c>
      <c r="M131" s="90">
        <f ca="1">+$F$131-M125</f>
        <v>1000</v>
      </c>
    </row>
    <row r="132" spans="1:13" ht="13.2" customHeight="1" x14ac:dyDescent="0.25">
      <c r="A132" s="74"/>
      <c r="B132" s="142" t="s">
        <v>120</v>
      </c>
      <c r="C132" s="74"/>
      <c r="D132" s="74"/>
      <c r="F132" s="130"/>
      <c r="H132" s="86"/>
      <c r="I132" s="90">
        <f ca="1">+MAX(I131-I126,0)</f>
        <v>1000</v>
      </c>
      <c r="J132" s="90">
        <f t="shared" ref="J132:M132" ca="1" si="30">+J131-J126</f>
        <v>1000</v>
      </c>
      <c r="K132" s="90">
        <f t="shared" ca="1" si="30"/>
        <v>1000</v>
      </c>
      <c r="L132" s="90">
        <f t="shared" ca="1" si="30"/>
        <v>1000</v>
      </c>
      <c r="M132" s="90">
        <f t="shared" ca="1" si="30"/>
        <v>1000</v>
      </c>
    </row>
    <row r="133" spans="1:13" ht="13.2" customHeight="1" x14ac:dyDescent="0.25">
      <c r="A133" s="74"/>
      <c r="B133" s="82" t="s">
        <v>172</v>
      </c>
      <c r="C133" s="74"/>
      <c r="D133" s="74"/>
      <c r="F133" s="30" t="s">
        <v>174</v>
      </c>
      <c r="G133" s="127" t="s">
        <v>173</v>
      </c>
      <c r="H133" s="86"/>
      <c r="I133" s="90">
        <f ca="1">+IF(Circ=0,0,$G$134*AVERAGE(I134:I135))</f>
        <v>2.8000000000000003</v>
      </c>
      <c r="J133" s="90">
        <f ca="1">+IF(Circ=0,0,$G$134*AVERAGE(J134:J135))</f>
        <v>2.8000000000000003</v>
      </c>
      <c r="K133" s="90">
        <f ca="1">+IF(Circ=0,0,$G$134*AVERAGE(K134:K135))</f>
        <v>2.8000000000000003</v>
      </c>
      <c r="L133" s="90">
        <f ca="1">+IF(Circ=0,0,$G$134*AVERAGE(L134:L135))</f>
        <v>2.8000000000000003</v>
      </c>
      <c r="M133" s="90">
        <f ca="1">+IF(Circ=0,0,$G$134*AVERAGE(M134:M135))</f>
        <v>2.8000000000000003</v>
      </c>
    </row>
    <row r="134" spans="1:13" ht="13.2" customHeight="1" x14ac:dyDescent="0.25">
      <c r="A134" s="74"/>
      <c r="B134" s="142" t="s">
        <v>119</v>
      </c>
      <c r="C134" s="74"/>
      <c r="D134" s="74"/>
      <c r="F134" s="120">
        <v>7000</v>
      </c>
      <c r="G134" s="129">
        <v>4.0000000000000002E-4</v>
      </c>
      <c r="H134" s="86"/>
      <c r="I134" s="90">
        <f>+IF(I131&lt;&gt;0,$F$134,0)</f>
        <v>7000</v>
      </c>
      <c r="J134" s="90">
        <f ca="1">+IF(J131&lt;&gt;0,$F$134,0)</f>
        <v>7000</v>
      </c>
      <c r="K134" s="90">
        <f ca="1">+IF(K131&lt;&gt;0,$F$134,0)</f>
        <v>7000</v>
      </c>
      <c r="L134" s="90">
        <f ca="1">+IF(L131&lt;&gt;0,$F$134,0)</f>
        <v>7000</v>
      </c>
      <c r="M134" s="90">
        <f ca="1">+IF(M131&lt;&gt;0,$F$134,0)</f>
        <v>7000</v>
      </c>
    </row>
    <row r="135" spans="1:13" ht="13.2" customHeight="1" x14ac:dyDescent="0.25">
      <c r="A135" s="74"/>
      <c r="B135" s="142" t="s">
        <v>120</v>
      </c>
      <c r="C135" s="74"/>
      <c r="D135" s="74"/>
      <c r="E135" s="130"/>
      <c r="F135" s="130"/>
      <c r="G135" s="126"/>
      <c r="H135" s="86"/>
      <c r="I135" s="90">
        <f ca="1">+IF(I132=0,$F$134-(I126-I131),I134)</f>
        <v>7000</v>
      </c>
      <c r="J135" s="90">
        <f ca="1">+IF(J132=0,$F$134-(J126-J131),J134)</f>
        <v>7000</v>
      </c>
      <c r="K135" s="90">
        <f ca="1">+IF(K132=0,$F$134-(K126-K131),K134)</f>
        <v>7000</v>
      </c>
      <c r="L135" s="90">
        <f ca="1">+IF(L132=0,$F$134-(L126-L131),L134)</f>
        <v>7000</v>
      </c>
      <c r="M135" s="90">
        <f ca="1">+IF(M132=0,$F$134-(M126-M131),M134)</f>
        <v>7000</v>
      </c>
    </row>
    <row r="136" spans="1:13" ht="13.2" customHeight="1" x14ac:dyDescent="0.25">
      <c r="H136" s="72"/>
    </row>
    <row r="137" spans="1:13" ht="13.2" customHeight="1" x14ac:dyDescent="0.25">
      <c r="B137" s="41" t="s">
        <v>121</v>
      </c>
      <c r="C137" s="41"/>
      <c r="D137" s="41"/>
      <c r="E137" s="41"/>
      <c r="F137" s="41"/>
      <c r="G137" s="41"/>
      <c r="H137" s="121"/>
      <c r="I137" s="42">
        <f ca="1">+I122+I126</f>
        <v>94131.574362903193</v>
      </c>
      <c r="J137" s="42">
        <f ca="1">+J122+J126</f>
        <v>124756.39526690799</v>
      </c>
      <c r="K137" s="42">
        <f ca="1">+K122+K126</f>
        <v>183941.30491862053</v>
      </c>
      <c r="L137" s="42">
        <f ca="1">+L122+L126</f>
        <v>266730.88807223761</v>
      </c>
      <c r="M137" s="42">
        <f ca="1">+M122+M126</f>
        <v>375627.53934522119</v>
      </c>
    </row>
    <row r="138" spans="1:13" ht="13.2" customHeight="1" x14ac:dyDescent="0.25">
      <c r="H138" s="72"/>
    </row>
    <row r="139" spans="1:13" ht="13.2" customHeight="1" x14ac:dyDescent="0.25">
      <c r="A139" s="74"/>
      <c r="B139" s="143" t="s">
        <v>70</v>
      </c>
      <c r="C139" s="74"/>
      <c r="D139" s="74"/>
      <c r="F139" s="145" t="s">
        <v>122</v>
      </c>
      <c r="G139" s="145" t="s">
        <v>123</v>
      </c>
      <c r="H139" s="86"/>
      <c r="I139" s="74"/>
      <c r="J139" s="74"/>
      <c r="K139" s="74"/>
      <c r="L139" s="74"/>
      <c r="M139" s="74"/>
    </row>
    <row r="140" spans="1:13" ht="13.2" customHeight="1" x14ac:dyDescent="0.25">
      <c r="A140" s="74"/>
      <c r="B140" s="82" t="s">
        <v>106</v>
      </c>
      <c r="C140" s="74"/>
      <c r="D140" s="74"/>
      <c r="F140" s="146">
        <v>0.02</v>
      </c>
      <c r="G140" s="128">
        <v>0</v>
      </c>
      <c r="H140" s="86"/>
      <c r="I140" s="90">
        <f>+H57</f>
        <v>116395</v>
      </c>
      <c r="J140" s="90">
        <f ca="1">+I143</f>
        <v>114067.1</v>
      </c>
      <c r="K140" s="90">
        <f ca="1">+J143</f>
        <v>111739.20000000001</v>
      </c>
      <c r="L140" s="90">
        <f ca="1">+K143</f>
        <v>109411.30000000002</v>
      </c>
      <c r="M140" s="90">
        <f ca="1">+L143</f>
        <v>107083.40000000002</v>
      </c>
    </row>
    <row r="141" spans="1:13" ht="13.2" customHeight="1" x14ac:dyDescent="0.25">
      <c r="A141" s="74"/>
      <c r="B141" s="82" t="s">
        <v>124</v>
      </c>
      <c r="C141" s="74"/>
      <c r="D141" s="74"/>
      <c r="H141" s="86"/>
      <c r="I141" s="74">
        <f>-MIN($F$140*$I$140,I140)</f>
        <v>-2327.9</v>
      </c>
      <c r="J141" s="74">
        <f ca="1">-MIN($F$140*$I$140,J140)</f>
        <v>-2327.9</v>
      </c>
      <c r="K141" s="74">
        <f ca="1">-MIN($F$140*$I$140,K140)</f>
        <v>-2327.9</v>
      </c>
      <c r="L141" s="74">
        <f ca="1">-MIN($F$140*$I$140,L140)</f>
        <v>-2327.9</v>
      </c>
      <c r="M141" s="74">
        <f ca="1">-MIN($F$140*$I$140,M140)</f>
        <v>-2327.9</v>
      </c>
    </row>
    <row r="142" spans="1:13" ht="13.2" customHeight="1" x14ac:dyDescent="0.25">
      <c r="A142" s="74"/>
      <c r="B142" s="82" t="s">
        <v>125</v>
      </c>
      <c r="C142" s="74"/>
      <c r="D142" s="74"/>
      <c r="E142" s="74"/>
      <c r="H142" s="86"/>
      <c r="I142" s="74">
        <f ca="1">-MIN(I137*$G$140,MAX(SUM(I140:I141,0)))</f>
        <v>0</v>
      </c>
      <c r="J142" s="74">
        <f ca="1">-MIN(J137*$G$140,MAX(SUM(J140:J141,0)))</f>
        <v>0</v>
      </c>
      <c r="K142" s="74">
        <f ca="1">-MIN(K137*$G$140,MAX(SUM(K140:K141,0)))</f>
        <v>0</v>
      </c>
      <c r="L142" s="74">
        <f ca="1">-MIN(L137*$G$140,MAX(SUM(L140:L141,0)))</f>
        <v>0</v>
      </c>
      <c r="M142" s="74">
        <f ca="1">-MIN(M137*$G$140,MAX(SUM(M140:M141,0)))</f>
        <v>0</v>
      </c>
    </row>
    <row r="143" spans="1:13" ht="13.2" customHeight="1" x14ac:dyDescent="0.25">
      <c r="A143" s="101"/>
      <c r="B143" s="138" t="s">
        <v>109</v>
      </c>
      <c r="C143" s="85"/>
      <c r="D143" s="85"/>
      <c r="E143" s="34"/>
      <c r="F143" s="144" t="s">
        <v>170</v>
      </c>
      <c r="G143" s="85"/>
      <c r="H143" s="118"/>
      <c r="I143" s="93">
        <f ca="1">SUM(I140:I142)</f>
        <v>114067.1</v>
      </c>
      <c r="J143" s="93">
        <f ca="1">SUM(J140:J142)</f>
        <v>111739.20000000001</v>
      </c>
      <c r="K143" s="93">
        <f ca="1">SUM(K140:K142)</f>
        <v>109411.30000000002</v>
      </c>
      <c r="L143" s="93">
        <f ca="1">SUM(L140:L142)</f>
        <v>107083.40000000002</v>
      </c>
      <c r="M143" s="93">
        <f ca="1">SUM(M140:M142)</f>
        <v>104755.50000000003</v>
      </c>
    </row>
    <row r="144" spans="1:13" ht="13.2" customHeight="1" x14ac:dyDescent="0.25">
      <c r="B144" s="31" t="s">
        <v>126</v>
      </c>
      <c r="F144" s="128">
        <v>0.02</v>
      </c>
      <c r="H144" s="86"/>
      <c r="I144" s="90">
        <f ca="1">+IF(Circ=0,0,$F$144*AVERAGE(I140,I143))</f>
        <v>2304.6210000000001</v>
      </c>
      <c r="J144" s="90">
        <f ca="1">+IF(Circ=0,0,$F$144*AVERAGE(J140,J143))</f>
        <v>2258.0630000000001</v>
      </c>
      <c r="K144" s="90">
        <f ca="1">+IF(Circ=0,0,$F$144*AVERAGE(K140,K143))</f>
        <v>2211.5050000000006</v>
      </c>
      <c r="L144" s="90">
        <f ca="1">+IF(Circ=0,0,$F$144*AVERAGE(L140,L143))</f>
        <v>2164.9470000000006</v>
      </c>
      <c r="M144" s="90">
        <f ca="1">+IF(Circ=0,0,$F$144*AVERAGE(M140,M143))</f>
        <v>2118.3890000000006</v>
      </c>
    </row>
    <row r="146" spans="2:13" s="53" customFormat="1" ht="13.2" customHeight="1" x14ac:dyDescent="0.25">
      <c r="B146" s="47" t="s">
        <v>127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</row>
    <row r="147" spans="2:13" ht="13.2" customHeight="1" x14ac:dyDescent="0.25">
      <c r="B147" s="34" t="s">
        <v>128</v>
      </c>
      <c r="C147" s="34"/>
      <c r="D147" s="34"/>
      <c r="E147" s="34"/>
      <c r="F147" s="34"/>
      <c r="G147" s="34"/>
      <c r="H147" s="73"/>
      <c r="I147" s="49">
        <f ca="1">+I128</f>
        <v>0</v>
      </c>
      <c r="J147" s="49">
        <f ca="1">+J128</f>
        <v>0</v>
      </c>
      <c r="K147" s="49">
        <f ca="1">+K128</f>
        <v>0</v>
      </c>
      <c r="L147" s="49">
        <f ca="1">+L128</f>
        <v>0</v>
      </c>
      <c r="M147" s="49">
        <f ca="1">+M128</f>
        <v>0</v>
      </c>
    </row>
    <row r="148" spans="2:13" ht="13.2" customHeight="1" x14ac:dyDescent="0.25">
      <c r="B148" s="31" t="s">
        <v>129</v>
      </c>
      <c r="H148" s="72"/>
      <c r="I148" s="31">
        <f ca="1">+I130</f>
        <v>5</v>
      </c>
      <c r="J148" s="31">
        <f t="shared" ref="J148:M148" ca="1" si="31">+J130</f>
        <v>5</v>
      </c>
      <c r="K148" s="31">
        <f t="shared" ca="1" si="31"/>
        <v>5</v>
      </c>
      <c r="L148" s="31">
        <f t="shared" ca="1" si="31"/>
        <v>5</v>
      </c>
      <c r="M148" s="31">
        <f t="shared" ca="1" si="31"/>
        <v>5</v>
      </c>
    </row>
    <row r="149" spans="2:13" ht="13.2" customHeight="1" x14ac:dyDescent="0.25">
      <c r="B149" s="31" t="s">
        <v>130</v>
      </c>
      <c r="H149" s="72"/>
      <c r="I149" s="31">
        <f ca="1">+I133</f>
        <v>2.8000000000000003</v>
      </c>
      <c r="J149" s="31">
        <f t="shared" ref="J149:M149" ca="1" si="32">+J133</f>
        <v>2.8000000000000003</v>
      </c>
      <c r="K149" s="31">
        <f t="shared" ca="1" si="32"/>
        <v>2.8000000000000003</v>
      </c>
      <c r="L149" s="31">
        <f t="shared" ca="1" si="32"/>
        <v>2.8000000000000003</v>
      </c>
      <c r="M149" s="31">
        <f t="shared" ca="1" si="32"/>
        <v>2.8000000000000003</v>
      </c>
    </row>
    <row r="150" spans="2:13" ht="13.2" customHeight="1" x14ac:dyDescent="0.25">
      <c r="B150" s="31" t="s">
        <v>131</v>
      </c>
      <c r="H150" s="72"/>
      <c r="I150" s="31">
        <f ca="1">+I144</f>
        <v>2304.6210000000001</v>
      </c>
      <c r="J150" s="31">
        <f t="shared" ref="J150:M150" ca="1" si="33">+J144</f>
        <v>2258.0630000000001</v>
      </c>
      <c r="K150" s="31">
        <f t="shared" ca="1" si="33"/>
        <v>2211.5050000000006</v>
      </c>
      <c r="L150" s="31">
        <f t="shared" ca="1" si="33"/>
        <v>2164.9470000000006</v>
      </c>
      <c r="M150" s="31">
        <f t="shared" ca="1" si="33"/>
        <v>2118.3890000000006</v>
      </c>
    </row>
    <row r="151" spans="2:13" s="53" customFormat="1" ht="13.2" customHeight="1" x14ac:dyDescent="0.25">
      <c r="B151" s="41" t="s">
        <v>132</v>
      </c>
      <c r="C151" s="41"/>
      <c r="D151" s="41"/>
      <c r="E151" s="41"/>
      <c r="F151" s="41"/>
      <c r="G151" s="41"/>
      <c r="H151" s="121"/>
      <c r="I151" s="42">
        <f ca="1">SUM(I147:I150)</f>
        <v>2312.4210000000003</v>
      </c>
      <c r="J151" s="42">
        <f t="shared" ref="J151:M151" ca="1" si="34">SUM(J147:J150)</f>
        <v>2265.8630000000003</v>
      </c>
      <c r="K151" s="42">
        <f t="shared" ca="1" si="34"/>
        <v>2219.3050000000007</v>
      </c>
      <c r="L151" s="42">
        <f t="shared" ca="1" si="34"/>
        <v>2172.7470000000008</v>
      </c>
      <c r="M151" s="42">
        <f t="shared" ca="1" si="34"/>
        <v>2126.1890000000008</v>
      </c>
    </row>
    <row r="152" spans="2:13" ht="13.2" customHeight="1" x14ac:dyDescent="0.25">
      <c r="B152" s="31" t="s">
        <v>133</v>
      </c>
      <c r="H152" s="72"/>
      <c r="I152" s="31">
        <f ca="1">-I100</f>
        <v>-195.1805743629032</v>
      </c>
      <c r="J152" s="31">
        <f t="shared" ref="J152:M152" ca="1" si="35">-J100</f>
        <v>-228.88796962981118</v>
      </c>
      <c r="K152" s="31">
        <f t="shared" ca="1" si="35"/>
        <v>-318.6977001855285</v>
      </c>
      <c r="L152" s="31">
        <f t="shared" ca="1" si="35"/>
        <v>-460.67219299085809</v>
      </c>
      <c r="M152" s="31">
        <f t="shared" ca="1" si="35"/>
        <v>-652.35842741745876</v>
      </c>
    </row>
    <row r="153" spans="2:13" s="53" customFormat="1" ht="13.2" customHeight="1" x14ac:dyDescent="0.25">
      <c r="B153" s="41" t="s">
        <v>134</v>
      </c>
      <c r="C153" s="41"/>
      <c r="D153" s="41"/>
      <c r="E153" s="41"/>
      <c r="F153" s="41"/>
      <c r="G153" s="41"/>
      <c r="H153" s="121"/>
      <c r="I153" s="42">
        <f ca="1">SUM(I151:I152)</f>
        <v>2117.2404256370969</v>
      </c>
      <c r="J153" s="42">
        <f t="shared" ref="J153:M153" ca="1" si="36">SUM(J151:J152)</f>
        <v>2036.9750303701892</v>
      </c>
      <c r="K153" s="42">
        <f t="shared" ca="1" si="36"/>
        <v>1900.6072998144723</v>
      </c>
      <c r="L153" s="42">
        <f t="shared" ca="1" si="36"/>
        <v>1712.0748070091427</v>
      </c>
      <c r="M153" s="42">
        <f t="shared" ca="1" si="36"/>
        <v>1473.8305725825421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4CEDE-A85E-42B8-8A33-2F424B07D106}">
  <sheetPr>
    <tabColor rgb="FFDFE9F4"/>
  </sheetPr>
  <dimension ref="A1:L40"/>
  <sheetViews>
    <sheetView showGridLines="0" zoomScaleNormal="100" workbookViewId="0"/>
  </sheetViews>
  <sheetFormatPr defaultColWidth="9.44140625" defaultRowHeight="13.2" customHeight="1" x14ac:dyDescent="0.25"/>
  <cols>
    <col min="1" max="1" width="2.21875" style="31" bestFit="1" customWidth="1"/>
    <col min="2" max="6" width="10.77734375" style="31" customWidth="1"/>
    <col min="7" max="7" width="4.109375" style="31" customWidth="1"/>
    <col min="8" max="12" width="10.77734375" style="31" customWidth="1"/>
    <col min="13" max="16384" width="9.44140625" style="31"/>
  </cols>
  <sheetData>
    <row r="1" spans="1:12" ht="13.2" customHeight="1" x14ac:dyDescent="0.25">
      <c r="A1" s="30"/>
    </row>
    <row r="2" spans="1:12" ht="13.2" customHeight="1" x14ac:dyDescent="0.25">
      <c r="A2" s="30" t="s">
        <v>20</v>
      </c>
      <c r="B2" s="32" t="s">
        <v>135</v>
      </c>
      <c r="C2" s="32"/>
      <c r="D2" s="32"/>
      <c r="E2" s="32"/>
      <c r="F2" s="32"/>
      <c r="G2" s="32"/>
      <c r="H2" s="33"/>
      <c r="I2" s="33"/>
      <c r="J2" s="33"/>
      <c r="K2" s="33"/>
      <c r="L2" s="33"/>
    </row>
    <row r="3" spans="1:12" ht="13.2" customHeight="1" x14ac:dyDescent="0.25">
      <c r="A3" s="30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3.2" customHeight="1" x14ac:dyDescent="0.25">
      <c r="A4" s="30" t="s">
        <v>20</v>
      </c>
      <c r="B4" s="35" t="s">
        <v>136</v>
      </c>
      <c r="C4" s="35"/>
      <c r="D4" s="35"/>
      <c r="E4" s="35"/>
      <c r="F4" s="35"/>
      <c r="G4" s="35"/>
      <c r="H4" s="36"/>
      <c r="I4" s="36"/>
      <c r="J4" s="36"/>
      <c r="K4" s="36"/>
      <c r="L4" s="36"/>
    </row>
    <row r="5" spans="1:12" ht="13.2" customHeight="1" x14ac:dyDescent="0.25">
      <c r="A5" s="30"/>
      <c r="B5" s="37" t="s">
        <v>7</v>
      </c>
      <c r="C5" s="37"/>
      <c r="D5" s="37"/>
      <c r="E5" s="37"/>
      <c r="F5" s="37"/>
      <c r="G5" s="37"/>
      <c r="H5" s="38">
        <v>44926</v>
      </c>
      <c r="I5" s="38">
        <f>+EOMONTH(H5,12)</f>
        <v>45291</v>
      </c>
      <c r="J5" s="38">
        <f>+EOMONTH(I5,12)</f>
        <v>45657</v>
      </c>
      <c r="K5" s="38">
        <f>+EOMONTH(J5,12)</f>
        <v>46022</v>
      </c>
      <c r="L5" s="38">
        <f>+EOMONTH(K5,12)</f>
        <v>46387</v>
      </c>
    </row>
    <row r="6" spans="1:12" ht="13.2" customHeight="1" x14ac:dyDescent="0.25">
      <c r="A6" s="30"/>
    </row>
    <row r="7" spans="1:12" ht="13.2" customHeight="1" x14ac:dyDescent="0.25">
      <c r="A7" s="30"/>
      <c r="B7" s="31" t="s">
        <v>46</v>
      </c>
      <c r="H7" s="39">
        <f>+Model!I28</f>
        <v>65775.079999999987</v>
      </c>
      <c r="I7" s="39">
        <f ca="1">+Model!J28</f>
        <v>92231.338224725099</v>
      </c>
      <c r="J7" s="39">
        <f ca="1">+Model!K28</f>
        <v>123238.845556855</v>
      </c>
      <c r="K7" s="39">
        <f ca="1">+Model!L28</f>
        <v>153604.64154779012</v>
      </c>
      <c r="L7" s="39">
        <f>+Model!M28</f>
        <v>178484.30413222709</v>
      </c>
    </row>
    <row r="8" spans="1:12" ht="13.2" customHeight="1" x14ac:dyDescent="0.25">
      <c r="A8" s="30"/>
      <c r="B8" s="31" t="s">
        <v>137</v>
      </c>
      <c r="H8" s="40">
        <f>-Model!I26</f>
        <v>-31572.038400000001</v>
      </c>
      <c r="I8" s="40">
        <f ca="1">-Model!J26</f>
        <v>-37059.201120725003</v>
      </c>
      <c r="J8" s="40">
        <f ca="1">-Model!K26</f>
        <v>-42166.45520125499</v>
      </c>
      <c r="K8" s="40">
        <f ca="1">-Model!L26</f>
        <v>-45038.136202030117</v>
      </c>
      <c r="L8" s="40">
        <f>-Model!M26</f>
        <v>-44773.020673350969</v>
      </c>
    </row>
    <row r="9" spans="1:12" ht="13.2" customHeight="1" x14ac:dyDescent="0.25">
      <c r="A9" s="30"/>
      <c r="B9" s="41" t="s">
        <v>37</v>
      </c>
      <c r="C9" s="41"/>
      <c r="D9" s="41"/>
      <c r="E9" s="41"/>
      <c r="F9" s="41"/>
      <c r="G9" s="41"/>
      <c r="H9" s="42">
        <f>SUM(H7:H8)</f>
        <v>34203.041599999982</v>
      </c>
      <c r="I9" s="42">
        <f ca="1">SUM(I7:I8)</f>
        <v>55172.137104000096</v>
      </c>
      <c r="J9" s="42">
        <f ca="1">SUM(J7:J8)</f>
        <v>81072.390355600015</v>
      </c>
      <c r="K9" s="42">
        <f ca="1">SUM(K7:K8)</f>
        <v>108566.50534576</v>
      </c>
      <c r="L9" s="42">
        <f>SUM(L7:L8)</f>
        <v>133711.28345887613</v>
      </c>
    </row>
    <row r="10" spans="1:12" ht="13.2" customHeight="1" x14ac:dyDescent="0.25">
      <c r="A10" s="30"/>
      <c r="B10" s="31" t="s">
        <v>42</v>
      </c>
      <c r="E10" s="43" t="s">
        <v>138</v>
      </c>
      <c r="F10" s="44">
        <f>+Model!I37</f>
        <v>0.16</v>
      </c>
      <c r="H10" s="31">
        <f>-$F$10*H9</f>
        <v>-5472.4866559999973</v>
      </c>
      <c r="I10" s="31">
        <f ca="1">-$F$10*I9</f>
        <v>-8827.5419366400147</v>
      </c>
      <c r="J10" s="31">
        <f ca="1">-$F$10*J9</f>
        <v>-12971.582456896003</v>
      </c>
      <c r="K10" s="31">
        <f ca="1">-$F$10*K9</f>
        <v>-17370.640855321599</v>
      </c>
      <c r="L10" s="31">
        <f>-$F$10*L9</f>
        <v>-21393.805353420183</v>
      </c>
    </row>
    <row r="11" spans="1:12" ht="13.2" customHeight="1" x14ac:dyDescent="0.25">
      <c r="A11" s="30"/>
      <c r="B11" s="41" t="s">
        <v>139</v>
      </c>
      <c r="C11" s="41"/>
      <c r="D11" s="41"/>
      <c r="E11" s="41"/>
      <c r="F11" s="41"/>
      <c r="G11" s="41"/>
      <c r="H11" s="42">
        <f>SUM(H9:H10)</f>
        <v>28730.554943999985</v>
      </c>
      <c r="I11" s="42">
        <f ca="1">SUM(I9:I10)</f>
        <v>46344.595167360079</v>
      </c>
      <c r="J11" s="42">
        <f ca="1">SUM(J9:J10)</f>
        <v>68100.807898704006</v>
      </c>
      <c r="K11" s="42">
        <f ca="1">SUM(K9:K10)</f>
        <v>91195.864490438398</v>
      </c>
      <c r="L11" s="42">
        <f>SUM(L9:L10)</f>
        <v>112317.47810545596</v>
      </c>
    </row>
    <row r="12" spans="1:12" ht="13.2" customHeight="1" x14ac:dyDescent="0.25">
      <c r="A12" s="30"/>
      <c r="B12" s="31" t="s">
        <v>9</v>
      </c>
      <c r="H12" s="40">
        <f>-H8</f>
        <v>31572.038400000001</v>
      </c>
      <c r="I12" s="40">
        <f ca="1">-I8</f>
        <v>37059.201120725003</v>
      </c>
      <c r="J12" s="40">
        <f ca="1">-J8</f>
        <v>42166.45520125499</v>
      </c>
      <c r="K12" s="40">
        <f ca="1">-K8</f>
        <v>45038.136202030117</v>
      </c>
      <c r="L12" s="40">
        <f>-L8</f>
        <v>44773.020673350969</v>
      </c>
    </row>
    <row r="13" spans="1:12" ht="13.2" customHeight="1" x14ac:dyDescent="0.25">
      <c r="A13" s="30"/>
      <c r="B13" s="31" t="s">
        <v>10</v>
      </c>
      <c r="H13" s="40">
        <f>+Model!I89</f>
        <v>-52620.064000000006</v>
      </c>
      <c r="I13" s="40">
        <f ca="1">+Model!J89</f>
        <v>-55938.416786000002</v>
      </c>
      <c r="J13" s="40">
        <f ca="1">+Model!K89</f>
        <v>-58160.627863799993</v>
      </c>
      <c r="K13" s="40">
        <f ca="1">+Model!L89</f>
        <v>-57191.284066069988</v>
      </c>
      <c r="L13" s="40">
        <f>+Model!M89</f>
        <v>-52674.141968648197</v>
      </c>
    </row>
    <row r="14" spans="1:12" ht="13.2" customHeight="1" x14ac:dyDescent="0.25">
      <c r="A14" s="30"/>
      <c r="B14" s="31" t="s">
        <v>140</v>
      </c>
      <c r="H14" s="40">
        <f>+Model!I84</f>
        <v>-2598.3755835616321</v>
      </c>
      <c r="I14" s="40">
        <f ca="1">+Model!J84</f>
        <v>4868.9101941506669</v>
      </c>
      <c r="J14" s="40">
        <f ca="1">+Model!K84</f>
        <v>8464.7662406137097</v>
      </c>
      <c r="K14" s="40">
        <f ca="1">+Model!L84</f>
        <v>4876.2942352806276</v>
      </c>
      <c r="L14" s="40">
        <f ca="1">+Model!M84</f>
        <v>5453.0236161068606</v>
      </c>
    </row>
    <row r="15" spans="1:12" ht="13.2" customHeight="1" x14ac:dyDescent="0.25">
      <c r="A15" s="30"/>
      <c r="B15" s="41" t="s">
        <v>141</v>
      </c>
      <c r="C15" s="41"/>
      <c r="D15" s="41"/>
      <c r="E15" s="41"/>
      <c r="F15" s="41"/>
      <c r="G15" s="41"/>
      <c r="H15" s="42">
        <f>SUM(H11:H14)</f>
        <v>5084.1537604383484</v>
      </c>
      <c r="I15" s="42">
        <f ca="1">SUM(I11:I14)</f>
        <v>32334.289696235748</v>
      </c>
      <c r="J15" s="42">
        <f ca="1">SUM(J11:J14)</f>
        <v>60571.40147677272</v>
      </c>
      <c r="K15" s="42">
        <f ca="1">SUM(K11:K14)</f>
        <v>83919.010861679155</v>
      </c>
      <c r="L15" s="42">
        <f ca="1">SUM(L11:L14)</f>
        <v>109869.3804262656</v>
      </c>
    </row>
    <row r="16" spans="1:12" ht="13.2" customHeight="1" x14ac:dyDescent="0.25">
      <c r="A16" s="30"/>
      <c r="B16" s="31" t="s">
        <v>175</v>
      </c>
      <c r="H16" s="45">
        <f>+COUNTA($H$5:H5)-0.5</f>
        <v>0.5</v>
      </c>
      <c r="I16" s="45">
        <f>+COUNTA($H$5:I5)-0.5</f>
        <v>1.5</v>
      </c>
      <c r="J16" s="45">
        <f>+COUNTA($H$5:J5)-0.5</f>
        <v>2.5</v>
      </c>
      <c r="K16" s="45">
        <f>+COUNTA($H$5:K5)-0.5</f>
        <v>3.5</v>
      </c>
      <c r="L16" s="45">
        <f>+COUNTA($H$5:L5)-0.5</f>
        <v>4.5</v>
      </c>
    </row>
    <row r="17" spans="1:12" ht="13.2" customHeight="1" x14ac:dyDescent="0.25">
      <c r="A17" s="30"/>
      <c r="B17" s="41" t="s">
        <v>142</v>
      </c>
      <c r="C17" s="41"/>
      <c r="D17" s="41"/>
      <c r="E17" s="41"/>
      <c r="F17" s="41"/>
      <c r="G17" s="41"/>
      <c r="H17" s="42">
        <f>+H15/(1+$F$40)^(H16)</f>
        <v>4846.511873070157</v>
      </c>
      <c r="I17" s="42">
        <f ca="1">+I15/(1+$F$40)^(I16)</f>
        <v>28008.84102893644</v>
      </c>
      <c r="J17" s="42">
        <f ca="1">+J15/(1+$F$40)^(J16)</f>
        <v>47678.287158477833</v>
      </c>
      <c r="K17" s="42">
        <f ca="1">+K15/(1+$F$40)^(K16)</f>
        <v>60025.334377273437</v>
      </c>
      <c r="L17" s="42">
        <f ca="1">+L15/(1+$F$40)^(L16)</f>
        <v>71412.151272681673</v>
      </c>
    </row>
    <row r="18" spans="1:12" ht="13.2" customHeight="1" x14ac:dyDescent="0.25">
      <c r="A18" s="30"/>
    </row>
    <row r="19" spans="1:12" ht="13.2" customHeight="1" x14ac:dyDescent="0.25">
      <c r="A19" s="30" t="s">
        <v>20</v>
      </c>
      <c r="B19" s="46" t="s">
        <v>143</v>
      </c>
      <c r="C19" s="46"/>
      <c r="D19" s="46"/>
      <c r="E19" s="46"/>
      <c r="F19" s="46"/>
      <c r="H19" s="46" t="s">
        <v>144</v>
      </c>
      <c r="I19" s="46"/>
      <c r="J19" s="46"/>
      <c r="K19" s="46"/>
      <c r="L19" s="46"/>
    </row>
    <row r="20" spans="1:12" ht="13.2" customHeight="1" x14ac:dyDescent="0.25">
      <c r="A20" s="30"/>
      <c r="B20" s="37" t="s">
        <v>7</v>
      </c>
      <c r="C20" s="37"/>
      <c r="D20" s="37"/>
      <c r="E20" s="37"/>
      <c r="F20" s="37"/>
      <c r="H20" s="37" t="s">
        <v>7</v>
      </c>
      <c r="I20" s="37"/>
      <c r="J20" s="37"/>
      <c r="K20" s="37"/>
      <c r="L20" s="37"/>
    </row>
    <row r="21" spans="1:12" ht="13.2" customHeight="1" x14ac:dyDescent="0.25">
      <c r="A21" s="30"/>
    </row>
    <row r="22" spans="1:12" ht="13.2" customHeight="1" x14ac:dyDescent="0.25">
      <c r="A22" s="30"/>
      <c r="B22" s="47" t="s">
        <v>145</v>
      </c>
      <c r="C22" s="47"/>
      <c r="D22" s="47"/>
      <c r="E22" s="47"/>
      <c r="F22" s="47"/>
      <c r="H22" s="47" t="s">
        <v>146</v>
      </c>
      <c r="I22" s="47"/>
      <c r="J22" s="47"/>
      <c r="K22" s="47"/>
      <c r="L22" s="47"/>
    </row>
    <row r="23" spans="1:12" ht="13.2" customHeight="1" x14ac:dyDescent="0.25">
      <c r="A23" s="30"/>
      <c r="B23" s="34" t="s">
        <v>147</v>
      </c>
      <c r="C23" s="34"/>
      <c r="D23" s="34"/>
      <c r="E23" s="34"/>
      <c r="F23" s="48">
        <f>-Model!H17</f>
        <v>1809</v>
      </c>
      <c r="H23" s="34" t="s">
        <v>148</v>
      </c>
      <c r="I23" s="34"/>
      <c r="J23" s="34"/>
      <c r="K23" s="34"/>
      <c r="L23" s="49">
        <f ca="1">+SUM(H17:L17)</f>
        <v>211971.12571043952</v>
      </c>
    </row>
    <row r="24" spans="1:12" ht="13.2" customHeight="1" x14ac:dyDescent="0.25">
      <c r="A24" s="30"/>
      <c r="B24" s="31" t="s">
        <v>149</v>
      </c>
      <c r="F24" s="39">
        <f>+SUM(Model!H53,Model!H57)</f>
        <v>116395</v>
      </c>
      <c r="H24" s="31" t="s">
        <v>11</v>
      </c>
      <c r="L24" s="50">
        <v>0.03</v>
      </c>
    </row>
    <row r="25" spans="1:12" ht="13.2" customHeight="1" x14ac:dyDescent="0.25">
      <c r="A25" s="30"/>
      <c r="B25" s="41" t="s">
        <v>150</v>
      </c>
      <c r="C25" s="41"/>
      <c r="D25" s="41"/>
      <c r="E25" s="41"/>
      <c r="F25" s="51">
        <f>+F23/F24</f>
        <v>1.554190472099317E-2</v>
      </c>
      <c r="H25" s="31" t="s">
        <v>12</v>
      </c>
      <c r="L25" s="52">
        <f ca="1">+L15*(1+L24)</f>
        <v>113165.46183905358</v>
      </c>
    </row>
    <row r="26" spans="1:12" ht="13.2" customHeight="1" x14ac:dyDescent="0.25">
      <c r="A26" s="30"/>
      <c r="B26" s="31" t="s">
        <v>151</v>
      </c>
      <c r="F26" s="169">
        <f>+F10</f>
        <v>0.16</v>
      </c>
      <c r="H26" s="31" t="s">
        <v>13</v>
      </c>
      <c r="L26" s="52">
        <f ca="1">+L25/(F40-L24)</f>
        <v>1605833.5278262361</v>
      </c>
    </row>
    <row r="27" spans="1:12" ht="13.2" customHeight="1" x14ac:dyDescent="0.25">
      <c r="A27" s="30"/>
      <c r="B27" s="41" t="s">
        <v>152</v>
      </c>
      <c r="C27" s="41"/>
      <c r="D27" s="41"/>
      <c r="E27" s="41"/>
      <c r="F27" s="51">
        <f>+F25*(1-F26)</f>
        <v>1.3055199965634262E-2</v>
      </c>
      <c r="H27" s="31" t="s">
        <v>153</v>
      </c>
      <c r="L27" s="52">
        <f ca="1">+L26/(1+F40)^(COUNTA(H5:L5)-0.5)</f>
        <v>1043748.7347517303</v>
      </c>
    </row>
    <row r="28" spans="1:12" ht="13.2" customHeight="1" x14ac:dyDescent="0.25">
      <c r="A28" s="30"/>
      <c r="B28" s="53"/>
      <c r="C28" s="53"/>
      <c r="D28" s="53"/>
      <c r="E28" s="53"/>
      <c r="F28" s="53"/>
      <c r="G28" s="53"/>
      <c r="H28" s="41" t="s">
        <v>154</v>
      </c>
      <c r="I28" s="41"/>
      <c r="J28" s="41"/>
      <c r="K28" s="41"/>
      <c r="L28" s="42">
        <f ca="1">+L23+L27</f>
        <v>1255719.8604621699</v>
      </c>
    </row>
    <row r="29" spans="1:12" ht="13.2" customHeight="1" x14ac:dyDescent="0.25">
      <c r="A29" s="30"/>
      <c r="B29" s="47" t="s">
        <v>16</v>
      </c>
      <c r="C29" s="47"/>
      <c r="D29" s="47"/>
      <c r="E29" s="47"/>
      <c r="F29" s="47"/>
      <c r="H29" s="31" t="s">
        <v>155</v>
      </c>
      <c r="L29" s="40">
        <f>-([1]FSM!H53+[1]FSM!H57)</f>
        <v>-116395</v>
      </c>
    </row>
    <row r="30" spans="1:12" ht="13.2" customHeight="1" x14ac:dyDescent="0.25">
      <c r="A30" s="30"/>
      <c r="B30" s="34" t="s">
        <v>156</v>
      </c>
      <c r="C30" s="34"/>
      <c r="D30" s="34"/>
      <c r="E30" s="34"/>
      <c r="F30" s="54">
        <v>3.3980000000000003E-2</v>
      </c>
      <c r="H30" s="31" t="s">
        <v>157</v>
      </c>
      <c r="L30" s="40">
        <f>+[1]FSM!H45</f>
        <v>96049</v>
      </c>
    </row>
    <row r="31" spans="1:12" ht="13.2" customHeight="1" x14ac:dyDescent="0.25">
      <c r="A31" s="30"/>
      <c r="B31" s="31" t="s">
        <v>158</v>
      </c>
      <c r="F31" s="55">
        <v>1.24</v>
      </c>
      <c r="H31" s="41" t="s">
        <v>14</v>
      </c>
      <c r="I31" s="41"/>
      <c r="J31" s="41"/>
      <c r="K31" s="41"/>
      <c r="L31" s="42">
        <f ca="1">SUM(L28:L30)</f>
        <v>1235373.8604621699</v>
      </c>
    </row>
    <row r="32" spans="1:12" ht="13.2" customHeight="1" x14ac:dyDescent="0.25">
      <c r="A32" s="30"/>
      <c r="B32" s="31" t="s">
        <v>159</v>
      </c>
      <c r="F32" s="50">
        <v>5.5E-2</v>
      </c>
      <c r="G32" s="53"/>
    </row>
    <row r="33" spans="1:12" ht="13.2" customHeight="1" x14ac:dyDescent="0.25">
      <c r="A33" s="30"/>
      <c r="B33" s="41" t="s">
        <v>160</v>
      </c>
      <c r="C33" s="41"/>
      <c r="D33" s="41"/>
      <c r="E33" s="34"/>
      <c r="F33" s="51">
        <f>+F30+(F31*F32)</f>
        <v>0.10217999999999999</v>
      </c>
      <c r="H33" s="56" t="s">
        <v>161</v>
      </c>
      <c r="I33" s="56"/>
      <c r="J33" s="56"/>
      <c r="K33" s="56"/>
      <c r="L33" s="56"/>
    </row>
    <row r="34" spans="1:12" ht="13.2" customHeight="1" x14ac:dyDescent="0.25">
      <c r="A34" s="30"/>
      <c r="B34" s="53"/>
      <c r="C34" s="53"/>
      <c r="D34" s="53"/>
      <c r="F34" s="53"/>
      <c r="H34" s="34" t="s">
        <v>162</v>
      </c>
      <c r="I34" s="34"/>
      <c r="J34" s="34"/>
      <c r="K34" s="34"/>
      <c r="L34" s="57">
        <v>523</v>
      </c>
    </row>
    <row r="35" spans="1:12" ht="13.2" customHeight="1" x14ac:dyDescent="0.25">
      <c r="A35" s="30"/>
      <c r="B35" s="47" t="s">
        <v>163</v>
      </c>
      <c r="C35" s="47"/>
      <c r="D35" s="47"/>
      <c r="E35" s="47"/>
      <c r="F35" s="47"/>
      <c r="H35" s="31" t="s">
        <v>164</v>
      </c>
      <c r="L35" s="58">
        <v>20</v>
      </c>
    </row>
    <row r="36" spans="1:12" ht="13.2" customHeight="1" x14ac:dyDescent="0.25">
      <c r="A36" s="30"/>
      <c r="B36" s="31" t="s">
        <v>165</v>
      </c>
      <c r="E36" s="59">
        <f>+SUM(Model!H53,Model!H57)-Model!H45</f>
        <v>20346</v>
      </c>
      <c r="F36" s="60">
        <f>+E36/$E$38</f>
        <v>1.9169997342996535E-2</v>
      </c>
      <c r="H36" s="31" t="s">
        <v>166</v>
      </c>
      <c r="L36" s="61">
        <f>+L34*L35</f>
        <v>10460</v>
      </c>
    </row>
    <row r="37" spans="1:12" ht="13.2" customHeight="1" x14ac:dyDescent="0.25">
      <c r="A37" s="30"/>
      <c r="B37" s="31" t="s">
        <v>14</v>
      </c>
      <c r="E37" s="62">
        <v>1041000</v>
      </c>
      <c r="F37" s="60">
        <f>+E37/$E$38</f>
        <v>0.98083000265700349</v>
      </c>
      <c r="H37" s="63" t="s">
        <v>15</v>
      </c>
      <c r="I37" s="64"/>
      <c r="J37" s="64"/>
      <c r="K37" s="64"/>
      <c r="L37" s="65">
        <f ca="1">+L31/L36</f>
        <v>118.10457556999712</v>
      </c>
    </row>
    <row r="38" spans="1:12" ht="13.2" customHeight="1" x14ac:dyDescent="0.25">
      <c r="A38" s="30"/>
      <c r="B38" s="41" t="s">
        <v>167</v>
      </c>
      <c r="C38" s="41"/>
      <c r="D38" s="41"/>
      <c r="E38" s="66">
        <f>SUM(E36:E37)</f>
        <v>1061346</v>
      </c>
      <c r="F38" s="67">
        <f>SUM(F36:F37)</f>
        <v>1</v>
      </c>
      <c r="H38" s="70" t="s">
        <v>168</v>
      </c>
      <c r="L38" s="71">
        <f ca="1">+L37/[1]FSM!I3-1</f>
        <v>0.15437958723484635</v>
      </c>
    </row>
    <row r="39" spans="1:12" ht="13.2" customHeight="1" x14ac:dyDescent="0.25">
      <c r="A39" s="30"/>
      <c r="B39" s="53"/>
      <c r="C39" s="53"/>
      <c r="D39" s="53"/>
      <c r="E39" s="53"/>
      <c r="F39" s="53"/>
    </row>
    <row r="40" spans="1:12" ht="13.2" customHeight="1" x14ac:dyDescent="0.25">
      <c r="A40" s="30"/>
      <c r="B40" s="63" t="s">
        <v>169</v>
      </c>
      <c r="C40" s="64"/>
      <c r="D40" s="64"/>
      <c r="E40" s="68"/>
      <c r="F40" s="69">
        <f>+(F27*F36)+(F33*F37)</f>
        <v>0.10047147782014611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Model</vt:lpstr>
      <vt:lpstr>DCF</vt:lpstr>
      <vt:lpstr>Circ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2022-07-02T04:50:11Z</dcterms:modified>
</cp:coreProperties>
</file>