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66925"/>
  <xr:revisionPtr revIDLastSave="0" documentId="13_ncr:1_{D88D6278-DB9F-43AD-8F1E-7DBEA43CF651}" xr6:coauthVersionLast="47" xr6:coauthVersionMax="47" xr10:uidLastSave="{00000000-0000-0000-0000-000000000000}"/>
  <bookViews>
    <workbookView xWindow="-120" yWindow="-120" windowWidth="57840" windowHeight="31920" xr2:uid="{5979CD1B-EC2A-4846-9D05-796AF6869551}"/>
  </bookViews>
  <sheets>
    <sheet name="Cover" sheetId="4" r:id="rId1"/>
    <sheet name="Financials" sheetId="3" r:id="rId2"/>
    <sheet name="Empty" sheetId="1" r:id="rId3"/>
    <sheet name="Completed" sheetId="2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3" i="2" l="1"/>
  <c r="E43" i="2"/>
  <c r="J387" i="2"/>
  <c r="E9" i="2"/>
  <c r="F402" i="1" l="1"/>
  <c r="G402" i="1" s="1"/>
  <c r="H402" i="1" s="1"/>
  <c r="I402" i="1" s="1"/>
  <c r="J402" i="1" s="1"/>
  <c r="E71" i="3" l="1"/>
  <c r="J10" i="3"/>
  <c r="G31" i="3"/>
  <c r="H31" i="3" s="1"/>
  <c r="I31" i="3" s="1"/>
  <c r="J31" i="3" s="1"/>
  <c r="G77" i="3"/>
  <c r="H77" i="3" s="1"/>
  <c r="I77" i="3" s="1"/>
  <c r="J77" i="3" s="1"/>
  <c r="F232" i="2"/>
  <c r="G232" i="2"/>
  <c r="H232" i="2"/>
  <c r="I232" i="2"/>
  <c r="J232" i="2"/>
  <c r="F237" i="2"/>
  <c r="G237" i="2"/>
  <c r="H237" i="2"/>
  <c r="I237" i="2"/>
  <c r="J237" i="2"/>
  <c r="E242" i="2"/>
  <c r="F242" i="2"/>
  <c r="G242" i="2"/>
  <c r="H242" i="2"/>
  <c r="I242" i="2"/>
  <c r="J242" i="2"/>
  <c r="E247" i="2"/>
  <c r="F247" i="2"/>
  <c r="G247" i="2"/>
  <c r="H247" i="2"/>
  <c r="I247" i="2"/>
  <c r="J247" i="2"/>
  <c r="E252" i="2"/>
  <c r="F252" i="2"/>
  <c r="G252" i="2"/>
  <c r="H252" i="2"/>
  <c r="I252" i="2"/>
  <c r="J252" i="2"/>
  <c r="F257" i="2"/>
  <c r="G257" i="2"/>
  <c r="H257" i="2"/>
  <c r="I257" i="2"/>
  <c r="J257" i="2"/>
  <c r="F262" i="2"/>
  <c r="G262" i="2"/>
  <c r="H262" i="2"/>
  <c r="I262" i="2"/>
  <c r="J262" i="2"/>
  <c r="E105" i="2"/>
  <c r="J13" i="3" l="1"/>
  <c r="J15" i="3" s="1"/>
  <c r="J17" i="3" s="1"/>
  <c r="E23" i="3" l="1"/>
  <c r="E26" i="3" s="1"/>
  <c r="E29" i="3" s="1"/>
  <c r="E12" i="3"/>
  <c r="E17" i="3" s="1"/>
  <c r="J19" i="3" l="1"/>
  <c r="B404" i="1"/>
  <c r="B405" i="1" s="1"/>
  <c r="B406" i="1" s="1"/>
  <c r="B407" i="1" s="1"/>
  <c r="F401" i="1"/>
  <c r="G401" i="1" s="1"/>
  <c r="H401" i="1" s="1"/>
  <c r="I401" i="1" s="1"/>
  <c r="J401" i="1" s="1"/>
  <c r="G384" i="1"/>
  <c r="H384" i="1" s="1"/>
  <c r="G374" i="1"/>
  <c r="H374" i="1" s="1"/>
  <c r="I374" i="1" s="1"/>
  <c r="J374" i="1" s="1"/>
  <c r="G301" i="1"/>
  <c r="H301" i="1" s="1"/>
  <c r="G299" i="1"/>
  <c r="H299" i="1" s="1"/>
  <c r="B283" i="1"/>
  <c r="B292" i="1" s="1"/>
  <c r="B282" i="1"/>
  <c r="B291" i="1" s="1"/>
  <c r="B281" i="1"/>
  <c r="G269" i="1"/>
  <c r="H269" i="1" s="1"/>
  <c r="I269" i="1" s="1"/>
  <c r="J269" i="1" s="1"/>
  <c r="F172" i="1"/>
  <c r="G172" i="1" s="1"/>
  <c r="F102" i="1"/>
  <c r="G102" i="1" s="1"/>
  <c r="G14" i="1"/>
  <c r="G15" i="1" s="1"/>
  <c r="C431" i="2"/>
  <c r="C432" i="2" s="1"/>
  <c r="C433" i="2" s="1"/>
  <c r="C429" i="2"/>
  <c r="C428" i="2" s="1"/>
  <c r="C427" i="2" s="1"/>
  <c r="H426" i="2"/>
  <c r="I426" i="2" s="1"/>
  <c r="J426" i="2" s="1"/>
  <c r="F426" i="2"/>
  <c r="E426" i="2" s="1"/>
  <c r="D426" i="2" s="1"/>
  <c r="C419" i="2"/>
  <c r="C420" i="2" s="1"/>
  <c r="C421" i="2" s="1"/>
  <c r="C417" i="2"/>
  <c r="C416" i="2" s="1"/>
  <c r="C415" i="2" s="1"/>
  <c r="H414" i="2"/>
  <c r="I414" i="2" s="1"/>
  <c r="J414" i="2" s="1"/>
  <c r="F414" i="2"/>
  <c r="E414" i="2" s="1"/>
  <c r="D414" i="2" s="1"/>
  <c r="B404" i="2"/>
  <c r="B405" i="2" s="1"/>
  <c r="B406" i="2" s="1"/>
  <c r="B407" i="2" s="1"/>
  <c r="F402" i="2"/>
  <c r="G402" i="2" s="1"/>
  <c r="H402" i="2" s="1"/>
  <c r="I402" i="2" s="1"/>
  <c r="J402" i="2" s="1"/>
  <c r="F401" i="2"/>
  <c r="G401" i="2" s="1"/>
  <c r="H401" i="2" s="1"/>
  <c r="I401" i="2" s="1"/>
  <c r="J401" i="2" s="1"/>
  <c r="E396" i="2"/>
  <c r="G387" i="2"/>
  <c r="H387" i="2" s="1"/>
  <c r="I387" i="2" s="1"/>
  <c r="G384" i="2"/>
  <c r="H384" i="2" s="1"/>
  <c r="G374" i="2"/>
  <c r="H374" i="2" s="1"/>
  <c r="I374" i="2" s="1"/>
  <c r="J374" i="2" s="1"/>
  <c r="D360" i="2"/>
  <c r="D365" i="2" s="1"/>
  <c r="J349" i="2"/>
  <c r="I349" i="2"/>
  <c r="H349" i="2"/>
  <c r="G347" i="2"/>
  <c r="F347" i="2"/>
  <c r="F334" i="2"/>
  <c r="F328" i="2"/>
  <c r="F315" i="2"/>
  <c r="G301" i="2"/>
  <c r="H301" i="2" s="1"/>
  <c r="G299" i="2"/>
  <c r="H299" i="2" s="1"/>
  <c r="B283" i="2"/>
  <c r="B292" i="2" s="1"/>
  <c r="B282" i="2"/>
  <c r="B291" i="2" s="1"/>
  <c r="B281" i="2"/>
  <c r="F273" i="2"/>
  <c r="F274" i="2" s="1"/>
  <c r="G274" i="2" s="1"/>
  <c r="H274" i="2" s="1"/>
  <c r="I274" i="2" s="1"/>
  <c r="J274" i="2" s="1"/>
  <c r="G272" i="2"/>
  <c r="H272" i="2" s="1"/>
  <c r="I272" i="2" s="1"/>
  <c r="J272" i="2" s="1"/>
  <c r="G269" i="2"/>
  <c r="H269" i="2" s="1"/>
  <c r="I269" i="2" s="1"/>
  <c r="J269" i="2" s="1"/>
  <c r="F174" i="2"/>
  <c r="C230" i="2"/>
  <c r="F223" i="2"/>
  <c r="J196" i="2"/>
  <c r="J398" i="2" s="1"/>
  <c r="I196" i="2"/>
  <c r="I398" i="2" s="1"/>
  <c r="H196" i="2"/>
  <c r="H398" i="2" s="1"/>
  <c r="G196" i="2"/>
  <c r="G398" i="2" s="1"/>
  <c r="F196" i="2"/>
  <c r="F398" i="2" s="1"/>
  <c r="E176" i="2"/>
  <c r="F172" i="2"/>
  <c r="G172" i="2" s="1"/>
  <c r="J167" i="2"/>
  <c r="I167" i="2"/>
  <c r="H167" i="2"/>
  <c r="G167" i="2"/>
  <c r="F167" i="2"/>
  <c r="J158" i="2"/>
  <c r="I158" i="2"/>
  <c r="H158" i="2"/>
  <c r="G158" i="2"/>
  <c r="F158" i="2"/>
  <c r="E158" i="2"/>
  <c r="J153" i="2"/>
  <c r="I153" i="2"/>
  <c r="H153" i="2"/>
  <c r="G153" i="2"/>
  <c r="F153" i="2"/>
  <c r="E153" i="2"/>
  <c r="J148" i="2"/>
  <c r="I148" i="2"/>
  <c r="H148" i="2"/>
  <c r="G148" i="2"/>
  <c r="F148" i="2"/>
  <c r="E148" i="2"/>
  <c r="J143" i="2"/>
  <c r="J131" i="2" s="1"/>
  <c r="I143" i="2"/>
  <c r="I131" i="2" s="1"/>
  <c r="H143" i="2"/>
  <c r="H131" i="2" s="1"/>
  <c r="G143" i="2"/>
  <c r="G131" i="2" s="1"/>
  <c r="F143" i="2"/>
  <c r="F131" i="2" s="1"/>
  <c r="J138" i="2"/>
  <c r="J128" i="2" s="1"/>
  <c r="I138" i="2"/>
  <c r="I128" i="2" s="1"/>
  <c r="H138" i="2"/>
  <c r="H128" i="2" s="1"/>
  <c r="G138" i="2"/>
  <c r="G128" i="2" s="1"/>
  <c r="F138" i="2"/>
  <c r="F128" i="2" s="1"/>
  <c r="J133" i="2"/>
  <c r="J122" i="2" s="1"/>
  <c r="I133" i="2"/>
  <c r="I122" i="2" s="1"/>
  <c r="H133" i="2"/>
  <c r="H122" i="2" s="1"/>
  <c r="G133" i="2"/>
  <c r="F133" i="2"/>
  <c r="F121" i="2" s="1"/>
  <c r="E131" i="2"/>
  <c r="E128" i="2"/>
  <c r="E124" i="2"/>
  <c r="E125" i="2" s="1"/>
  <c r="E122" i="2"/>
  <c r="D117" i="2"/>
  <c r="E113" i="2"/>
  <c r="E114" i="2" s="1"/>
  <c r="E109" i="2"/>
  <c r="E107" i="2"/>
  <c r="F102" i="2"/>
  <c r="G102" i="2" s="1"/>
  <c r="G165" i="2" s="1"/>
  <c r="H89" i="2"/>
  <c r="J89" i="2" s="1"/>
  <c r="G87" i="2"/>
  <c r="G93" i="2" s="1"/>
  <c r="G96" i="2" s="1"/>
  <c r="J86" i="2"/>
  <c r="J85" i="2"/>
  <c r="J84" i="2"/>
  <c r="I79" i="2"/>
  <c r="G76" i="2"/>
  <c r="G81" i="2" s="1"/>
  <c r="J75" i="2"/>
  <c r="J74" i="2"/>
  <c r="J73" i="2"/>
  <c r="I72" i="2"/>
  <c r="E59" i="2"/>
  <c r="J63" i="2" s="1"/>
  <c r="E56" i="2"/>
  <c r="E55" i="2"/>
  <c r="E46" i="2"/>
  <c r="E406" i="2" s="1"/>
  <c r="J44" i="2"/>
  <c r="H72" i="2" s="1"/>
  <c r="D30" i="2"/>
  <c r="E34" i="2" s="1"/>
  <c r="J15" i="2"/>
  <c r="G14" i="2"/>
  <c r="G15" i="2" s="1"/>
  <c r="E13" i="2"/>
  <c r="J43" i="2" s="1"/>
  <c r="J14" i="2"/>
  <c r="J72" i="2" l="1"/>
  <c r="J76" i="2" s="1"/>
  <c r="G273" i="2"/>
  <c r="H273" i="2" s="1"/>
  <c r="I273" i="2" s="1"/>
  <c r="J273" i="2" s="1"/>
  <c r="G406" i="2"/>
  <c r="G405" i="2"/>
  <c r="G407" i="2"/>
  <c r="F406" i="2"/>
  <c r="F405" i="2"/>
  <c r="F407" i="2"/>
  <c r="F165" i="2"/>
  <c r="G98" i="2"/>
  <c r="G328" i="2"/>
  <c r="D364" i="2"/>
  <c r="D366" i="2" s="1"/>
  <c r="J13" i="2"/>
  <c r="J16" i="2" s="1"/>
  <c r="J9" i="2" s="1"/>
  <c r="J10" i="2" s="1"/>
  <c r="E11" i="2" s="1"/>
  <c r="E12" i="2" s="1"/>
  <c r="E54" i="2" s="1"/>
  <c r="E57" i="2" s="1"/>
  <c r="E130" i="2"/>
  <c r="F130" i="2" s="1"/>
  <c r="G130" i="2" s="1"/>
  <c r="H130" i="2" s="1"/>
  <c r="I130" i="2" s="1"/>
  <c r="J130" i="2" s="1"/>
  <c r="E181" i="2"/>
  <c r="E237" i="2" s="1"/>
  <c r="E177" i="2"/>
  <c r="G315" i="2"/>
  <c r="H172" i="1"/>
  <c r="H102" i="1"/>
  <c r="I301" i="1"/>
  <c r="I384" i="1"/>
  <c r="I299" i="1"/>
  <c r="F122" i="2"/>
  <c r="F127" i="2"/>
  <c r="G127" i="2" s="1"/>
  <c r="H127" i="2" s="1"/>
  <c r="F210" i="2"/>
  <c r="F184" i="2"/>
  <c r="G174" i="2"/>
  <c r="G186" i="2" s="1"/>
  <c r="F193" i="2"/>
  <c r="F205" i="2" s="1"/>
  <c r="F186" i="2"/>
  <c r="G121" i="2"/>
  <c r="H121" i="2" s="1"/>
  <c r="F179" i="2"/>
  <c r="H195" i="2"/>
  <c r="H208" i="2" s="1"/>
  <c r="G195" i="2"/>
  <c r="G208" i="2" s="1"/>
  <c r="F195" i="2"/>
  <c r="F208" i="2" s="1"/>
  <c r="J195" i="2"/>
  <c r="J208" i="2" s="1"/>
  <c r="I195" i="2"/>
  <c r="I208" i="2" s="1"/>
  <c r="I384" i="2"/>
  <c r="J64" i="2"/>
  <c r="J65" i="2" s="1"/>
  <c r="G212" i="2"/>
  <c r="H172" i="2"/>
  <c r="H78" i="2"/>
  <c r="J78" i="2" s="1"/>
  <c r="G122" i="2"/>
  <c r="I301" i="2"/>
  <c r="H328" i="2"/>
  <c r="H315" i="2"/>
  <c r="H102" i="2"/>
  <c r="E404" i="2"/>
  <c r="E407" i="2"/>
  <c r="J366" i="2"/>
  <c r="E403" i="2"/>
  <c r="E405" i="2"/>
  <c r="F404" i="2"/>
  <c r="F211" i="2"/>
  <c r="I299" i="2"/>
  <c r="H336" i="2"/>
  <c r="E188" i="2" l="1"/>
  <c r="E191" i="2" s="1"/>
  <c r="E182" i="2"/>
  <c r="J42" i="2"/>
  <c r="E14" i="2"/>
  <c r="J45" i="2"/>
  <c r="H95" i="2" s="1"/>
  <c r="J370" i="2"/>
  <c r="J372" i="2" s="1"/>
  <c r="I172" i="1"/>
  <c r="I102" i="1"/>
  <c r="J301" i="1"/>
  <c r="J384" i="1"/>
  <c r="J299" i="1"/>
  <c r="H174" i="2"/>
  <c r="H184" i="2" s="1"/>
  <c r="G211" i="2"/>
  <c r="G210" i="2"/>
  <c r="G193" i="2"/>
  <c r="G205" i="2" s="1"/>
  <c r="G179" i="2"/>
  <c r="G184" i="2"/>
  <c r="F124" i="2"/>
  <c r="F125" i="2" s="1"/>
  <c r="G124" i="2"/>
  <c r="I336" i="2"/>
  <c r="J299" i="2"/>
  <c r="J384" i="2"/>
  <c r="I172" i="2"/>
  <c r="H212" i="2"/>
  <c r="H124" i="2"/>
  <c r="I127" i="2"/>
  <c r="I328" i="2"/>
  <c r="I315" i="2"/>
  <c r="J301" i="2"/>
  <c r="J367" i="2"/>
  <c r="F393" i="2"/>
  <c r="I102" i="2"/>
  <c r="H165" i="2"/>
  <c r="I121" i="2"/>
  <c r="E58" i="2"/>
  <c r="E190" i="2" l="1"/>
  <c r="E197" i="2" s="1"/>
  <c r="G125" i="2"/>
  <c r="H125" i="2"/>
  <c r="J102" i="1"/>
  <c r="J172" i="1"/>
  <c r="H186" i="2"/>
  <c r="H179" i="2"/>
  <c r="H211" i="2"/>
  <c r="H193" i="2"/>
  <c r="H205" i="2" s="1"/>
  <c r="I174" i="2"/>
  <c r="I193" i="2" s="1"/>
  <c r="I205" i="2" s="1"/>
  <c r="H210" i="2"/>
  <c r="F104" i="2"/>
  <c r="F105" i="2" s="1"/>
  <c r="G104" i="2"/>
  <c r="H104" i="2"/>
  <c r="J56" i="2"/>
  <c r="J57" i="2"/>
  <c r="H80" i="2"/>
  <c r="J80" i="2" s="1"/>
  <c r="J336" i="2"/>
  <c r="J121" i="2"/>
  <c r="I212" i="2"/>
  <c r="J172" i="2"/>
  <c r="J212" i="2" s="1"/>
  <c r="J315" i="2"/>
  <c r="J328" i="2"/>
  <c r="I165" i="2"/>
  <c r="J102" i="2"/>
  <c r="J165" i="2" s="1"/>
  <c r="G393" i="2"/>
  <c r="J127" i="2"/>
  <c r="J124" i="2" s="1"/>
  <c r="I124" i="2"/>
  <c r="I125" i="2" s="1"/>
  <c r="E15" i="2" l="1"/>
  <c r="J125" i="2"/>
  <c r="G105" i="2"/>
  <c r="H105" i="2"/>
  <c r="G111" i="2"/>
  <c r="G185" i="2" s="1"/>
  <c r="F175" i="2"/>
  <c r="F176" i="2" s="1"/>
  <c r="F177" i="2" s="1"/>
  <c r="H111" i="2"/>
  <c r="H185" i="2" s="1"/>
  <c r="I179" i="2"/>
  <c r="I211" i="2"/>
  <c r="G175" i="2"/>
  <c r="G176" i="2" s="1"/>
  <c r="I184" i="2"/>
  <c r="I210" i="2"/>
  <c r="I186" i="2"/>
  <c r="J174" i="2"/>
  <c r="J184" i="2" s="1"/>
  <c r="F111" i="2"/>
  <c r="F185" i="2" s="1"/>
  <c r="F112" i="2"/>
  <c r="F187" i="2" s="1"/>
  <c r="F108" i="2"/>
  <c r="F107" i="2" s="1"/>
  <c r="F180" i="2" s="1"/>
  <c r="I104" i="2"/>
  <c r="I105" i="2" s="1"/>
  <c r="H112" i="2"/>
  <c r="H187" i="2" s="1"/>
  <c r="H108" i="2"/>
  <c r="H109" i="2" s="1"/>
  <c r="H175" i="2"/>
  <c r="H176" i="2" s="1"/>
  <c r="G108" i="2"/>
  <c r="G107" i="2" s="1"/>
  <c r="G180" i="2" s="1"/>
  <c r="G112" i="2"/>
  <c r="G187" i="2" s="1"/>
  <c r="H393" i="2"/>
  <c r="J58" i="2"/>
  <c r="E60" i="2"/>
  <c r="E202" i="2"/>
  <c r="E204" i="2" s="1"/>
  <c r="E198" i="2"/>
  <c r="J104" i="2"/>
  <c r="J194" i="2"/>
  <c r="J207" i="2" s="1"/>
  <c r="H194" i="2"/>
  <c r="H207" i="2" s="1"/>
  <c r="G194" i="2"/>
  <c r="G207" i="2" s="1"/>
  <c r="I194" i="2"/>
  <c r="I207" i="2" s="1"/>
  <c r="F194" i="2"/>
  <c r="F207" i="2" s="1"/>
  <c r="I28" i="2" l="1"/>
  <c r="J28" i="2" s="1"/>
  <c r="E42" i="2"/>
  <c r="F306" i="2" s="1"/>
  <c r="E16" i="2"/>
  <c r="H177" i="2"/>
  <c r="G177" i="2"/>
  <c r="J105" i="2"/>
  <c r="J175" i="2"/>
  <c r="J176" i="2" s="1"/>
  <c r="F181" i="2"/>
  <c r="F188" i="2" s="1"/>
  <c r="F109" i="2"/>
  <c r="J179" i="2"/>
  <c r="G181" i="2"/>
  <c r="G188" i="2" s="1"/>
  <c r="F113" i="2"/>
  <c r="F168" i="2" s="1"/>
  <c r="F212" i="2" s="1"/>
  <c r="J193" i="2"/>
  <c r="J205" i="2" s="1"/>
  <c r="H113" i="2"/>
  <c r="H168" i="2" s="1"/>
  <c r="J210" i="2"/>
  <c r="I111" i="2"/>
  <c r="I185" i="2" s="1"/>
  <c r="I175" i="2"/>
  <c r="I176" i="2" s="1"/>
  <c r="I177" i="2" s="1"/>
  <c r="J186" i="2"/>
  <c r="J211" i="2"/>
  <c r="I112" i="2"/>
  <c r="I187" i="2" s="1"/>
  <c r="G109" i="2"/>
  <c r="I108" i="2"/>
  <c r="G113" i="2"/>
  <c r="G114" i="2" s="1"/>
  <c r="H107" i="2"/>
  <c r="H180" i="2" s="1"/>
  <c r="H181" i="2" s="1"/>
  <c r="H188" i="2" s="1"/>
  <c r="I27" i="2"/>
  <c r="J27" i="2" s="1"/>
  <c r="I393" i="2"/>
  <c r="I92" i="2"/>
  <c r="J92" i="2" s="1"/>
  <c r="E61" i="2"/>
  <c r="H79" i="2" s="1"/>
  <c r="J79" i="2" s="1"/>
  <c r="J81" i="2" s="1"/>
  <c r="J108" i="2"/>
  <c r="J112" i="2"/>
  <c r="J187" i="2" s="1"/>
  <c r="J111" i="2"/>
  <c r="J185" i="2" s="1"/>
  <c r="J209" i="2"/>
  <c r="I209" i="2"/>
  <c r="H209" i="2"/>
  <c r="F209" i="2"/>
  <c r="G209" i="2"/>
  <c r="E44" i="2" l="1"/>
  <c r="I90" i="2"/>
  <c r="J90" i="2" s="1"/>
  <c r="I83" i="2"/>
  <c r="J83" i="2" s="1"/>
  <c r="J87" i="2" s="1"/>
  <c r="J30" i="2"/>
  <c r="H91" i="2" s="1"/>
  <c r="J91" i="2" s="1"/>
  <c r="J177" i="2"/>
  <c r="F182" i="2"/>
  <c r="F114" i="2"/>
  <c r="G182" i="2"/>
  <c r="G168" i="2"/>
  <c r="H182" i="2"/>
  <c r="I113" i="2"/>
  <c r="I168" i="2" s="1"/>
  <c r="H114" i="2"/>
  <c r="I107" i="2"/>
  <c r="I180" i="2" s="1"/>
  <c r="I181" i="2" s="1"/>
  <c r="I182" i="2" s="1"/>
  <c r="I109" i="2"/>
  <c r="F310" i="2"/>
  <c r="G277" i="2"/>
  <c r="J393" i="2"/>
  <c r="H277" i="2"/>
  <c r="J113" i="2"/>
  <c r="J109" i="2"/>
  <c r="J107" i="2"/>
  <c r="J180" i="2" s="1"/>
  <c r="J181" i="2" s="1"/>
  <c r="F324" i="2"/>
  <c r="F213" i="2" s="1"/>
  <c r="F277" i="2"/>
  <c r="J93" i="2" l="1"/>
  <c r="F201" i="2"/>
  <c r="F206" i="2" s="1"/>
  <c r="J46" i="2"/>
  <c r="J47" i="2" s="1"/>
  <c r="E49" i="2" s="1"/>
  <c r="E47" i="2" s="1"/>
  <c r="G201" i="2"/>
  <c r="G206" i="2" s="1"/>
  <c r="G278" i="2"/>
  <c r="H278" i="2"/>
  <c r="I114" i="2"/>
  <c r="I188" i="2"/>
  <c r="I277" i="2" s="1"/>
  <c r="I278" i="2" s="1"/>
  <c r="J114" i="2"/>
  <c r="J168" i="2"/>
  <c r="G281" i="2"/>
  <c r="G282" i="2"/>
  <c r="G287" i="2" s="1"/>
  <c r="G291" i="2" s="1"/>
  <c r="G283" i="2"/>
  <c r="G288" i="2" s="1"/>
  <c r="G292" i="2" s="1"/>
  <c r="F281" i="2"/>
  <c r="F282" i="2"/>
  <c r="F287" i="2" s="1"/>
  <c r="F291" i="2" s="1"/>
  <c r="F283" i="2"/>
  <c r="F288" i="2" s="1"/>
  <c r="F292" i="2" s="1"/>
  <c r="F278" i="2"/>
  <c r="J182" i="2"/>
  <c r="J188" i="2"/>
  <c r="H282" i="2"/>
  <c r="H287" i="2" s="1"/>
  <c r="H291" i="2" s="1"/>
  <c r="H283" i="2"/>
  <c r="H288" i="2" s="1"/>
  <c r="H292" i="2" s="1"/>
  <c r="H281" i="2"/>
  <c r="J49" i="2" l="1"/>
  <c r="F293" i="2"/>
  <c r="H284" i="2"/>
  <c r="G293" i="2"/>
  <c r="H293" i="2"/>
  <c r="I282" i="2"/>
  <c r="I287" i="2" s="1"/>
  <c r="I291" i="2" s="1"/>
  <c r="I283" i="2"/>
  <c r="I288" i="2" s="1"/>
  <c r="I292" i="2" s="1"/>
  <c r="I281" i="2"/>
  <c r="I95" i="2"/>
  <c r="J95" i="2" s="1"/>
  <c r="J96" i="2" s="1"/>
  <c r="J98" i="2" s="1"/>
  <c r="E45" i="2"/>
  <c r="J357" i="2" s="1"/>
  <c r="J368" i="2"/>
  <c r="G284" i="2"/>
  <c r="J277" i="2"/>
  <c r="J278" i="2" s="1"/>
  <c r="F284" i="2"/>
  <c r="H295" i="2" l="1"/>
  <c r="H189" i="2" s="1"/>
  <c r="H190" i="2" s="1"/>
  <c r="H191" i="2" s="1"/>
  <c r="I284" i="2"/>
  <c r="G295" i="2"/>
  <c r="G189" i="2" s="1"/>
  <c r="G190" i="2" s="1"/>
  <c r="G197" i="2" s="1"/>
  <c r="F295" i="2"/>
  <c r="F189" i="2" s="1"/>
  <c r="F190" i="2" s="1"/>
  <c r="F197" i="2" s="1"/>
  <c r="I293" i="2"/>
  <c r="J283" i="2"/>
  <c r="J288" i="2" s="1"/>
  <c r="J292" i="2" s="1"/>
  <c r="J281" i="2"/>
  <c r="J282" i="2"/>
  <c r="J287" i="2" s="1"/>
  <c r="J291" i="2" s="1"/>
  <c r="F375" i="2"/>
  <c r="J360" i="2"/>
  <c r="H197" i="2" l="1"/>
  <c r="H198" i="2" s="1"/>
  <c r="H386" i="2"/>
  <c r="H388" i="2" s="1"/>
  <c r="H332" i="2"/>
  <c r="G386" i="2"/>
  <c r="G388" i="2" s="1"/>
  <c r="I295" i="2"/>
  <c r="I189" i="2" s="1"/>
  <c r="I190" i="2" s="1"/>
  <c r="I332" i="2" s="1"/>
  <c r="F191" i="2"/>
  <c r="G191" i="2"/>
  <c r="G332" i="2"/>
  <c r="F386" i="2"/>
  <c r="F388" i="2" s="1"/>
  <c r="G375" i="2"/>
  <c r="J284" i="2"/>
  <c r="F198" i="2"/>
  <c r="G198" i="2"/>
  <c r="J293" i="2"/>
  <c r="I197" i="2" l="1"/>
  <c r="I198" i="2" s="1"/>
  <c r="I191" i="2"/>
  <c r="I386" i="2"/>
  <c r="I388" i="2" s="1"/>
  <c r="J295" i="2"/>
  <c r="J189" i="2" s="1"/>
  <c r="J190" i="2" s="1"/>
  <c r="J191" i="2" s="1"/>
  <c r="H375" i="2"/>
  <c r="J197" i="2" l="1"/>
  <c r="J198" i="2" s="1"/>
  <c r="J332" i="2"/>
  <c r="J386" i="2"/>
  <c r="J388" i="2" s="1"/>
  <c r="I375" i="2"/>
  <c r="J375" i="2" l="1"/>
  <c r="J346" i="2" l="1"/>
  <c r="J214" i="2" s="1"/>
  <c r="J215" i="2" s="1"/>
  <c r="J397" i="2"/>
  <c r="H346" i="2"/>
  <c r="H397" i="2"/>
  <c r="H407" i="2" s="1"/>
  <c r="H347" i="2" l="1"/>
  <c r="H350" i="2" s="1"/>
  <c r="H406" i="2"/>
  <c r="H352" i="2"/>
  <c r="H201" i="2" s="1"/>
  <c r="H206" i="2" s="1"/>
  <c r="H214" i="2"/>
  <c r="H215" i="2" s="1"/>
  <c r="I345" i="2" l="1"/>
  <c r="F200" i="2"/>
  <c r="G200" i="2"/>
  <c r="H200" i="2"/>
  <c r="I200" i="2"/>
  <c r="J200" i="2"/>
  <c r="I201" i="2"/>
  <c r="J201" i="2"/>
  <c r="F202" i="2"/>
  <c r="G202" i="2"/>
  <c r="H202" i="2"/>
  <c r="I202" i="2"/>
  <c r="J202" i="2"/>
  <c r="F203" i="2"/>
  <c r="G203" i="2"/>
  <c r="H203" i="2"/>
  <c r="I203" i="2"/>
  <c r="J203" i="2"/>
  <c r="F204" i="2"/>
  <c r="G204" i="2"/>
  <c r="H204" i="2"/>
  <c r="I204" i="2"/>
  <c r="J204" i="2"/>
  <c r="I206" i="2"/>
  <c r="J206" i="2"/>
  <c r="G213" i="2"/>
  <c r="H213" i="2"/>
  <c r="I213" i="2"/>
  <c r="J213" i="2"/>
  <c r="I214" i="2"/>
  <c r="I215" i="2"/>
  <c r="F216" i="2"/>
  <c r="G216" i="2"/>
  <c r="H216" i="2"/>
  <c r="I216" i="2"/>
  <c r="J216" i="2"/>
  <c r="F217" i="2"/>
  <c r="G217" i="2"/>
  <c r="H217" i="2"/>
  <c r="I217" i="2"/>
  <c r="J217" i="2"/>
  <c r="F218" i="2"/>
  <c r="G218" i="2"/>
  <c r="H218" i="2"/>
  <c r="I218" i="2"/>
  <c r="J218" i="2"/>
  <c r="F219" i="2"/>
  <c r="G219" i="2"/>
  <c r="H219" i="2"/>
  <c r="I219" i="2"/>
  <c r="J219" i="2"/>
  <c r="F220" i="2"/>
  <c r="G220" i="2"/>
  <c r="H220" i="2"/>
  <c r="I220" i="2"/>
  <c r="J220" i="2"/>
  <c r="G223" i="2"/>
  <c r="H223" i="2"/>
  <c r="I223" i="2"/>
  <c r="J223" i="2"/>
  <c r="F224" i="2"/>
  <c r="G224" i="2"/>
  <c r="H224" i="2"/>
  <c r="I224" i="2"/>
  <c r="J224" i="2"/>
  <c r="F225" i="2"/>
  <c r="G225" i="2"/>
  <c r="H225" i="2"/>
  <c r="I225" i="2"/>
  <c r="J225" i="2"/>
  <c r="F303" i="2"/>
  <c r="G303" i="2"/>
  <c r="H303" i="2"/>
  <c r="I303" i="2"/>
  <c r="J303" i="2"/>
  <c r="G306" i="2"/>
  <c r="H306" i="2"/>
  <c r="I306" i="2"/>
  <c r="J306" i="2"/>
  <c r="F307" i="2"/>
  <c r="G307" i="2"/>
  <c r="H307" i="2"/>
  <c r="I307" i="2"/>
  <c r="J307" i="2"/>
  <c r="F308" i="2"/>
  <c r="G308" i="2"/>
  <c r="H308" i="2"/>
  <c r="I308" i="2"/>
  <c r="J308" i="2"/>
  <c r="G310" i="2"/>
  <c r="H310" i="2"/>
  <c r="I310" i="2"/>
  <c r="J310" i="2"/>
  <c r="F311" i="2"/>
  <c r="G311" i="2"/>
  <c r="H311" i="2"/>
  <c r="I311" i="2"/>
  <c r="J311" i="2"/>
  <c r="F313" i="2"/>
  <c r="G313" i="2"/>
  <c r="H313" i="2"/>
  <c r="I313" i="2"/>
  <c r="J313" i="2"/>
  <c r="F316" i="2"/>
  <c r="G316" i="2"/>
  <c r="H316" i="2"/>
  <c r="I316" i="2"/>
  <c r="J316" i="2"/>
  <c r="F318" i="2"/>
  <c r="G318" i="2"/>
  <c r="H318" i="2"/>
  <c r="I318" i="2"/>
  <c r="J318" i="2"/>
  <c r="F320" i="2"/>
  <c r="G320" i="2"/>
  <c r="H320" i="2"/>
  <c r="I320" i="2"/>
  <c r="J320" i="2"/>
  <c r="G323" i="2"/>
  <c r="H323" i="2"/>
  <c r="I323" i="2"/>
  <c r="J323" i="2"/>
  <c r="G324" i="2"/>
  <c r="H324" i="2"/>
  <c r="I324" i="2"/>
  <c r="J324" i="2"/>
  <c r="F325" i="2"/>
  <c r="G325" i="2"/>
  <c r="H325" i="2"/>
  <c r="I325" i="2"/>
  <c r="J325" i="2"/>
  <c r="F326" i="2"/>
  <c r="G326" i="2"/>
  <c r="H326" i="2"/>
  <c r="I326" i="2"/>
  <c r="J326" i="2"/>
  <c r="F329" i="2"/>
  <c r="G329" i="2"/>
  <c r="H329" i="2"/>
  <c r="I329" i="2"/>
  <c r="J329" i="2"/>
  <c r="G333" i="2"/>
  <c r="H333" i="2"/>
  <c r="I333" i="2"/>
  <c r="J333" i="2"/>
  <c r="G334" i="2"/>
  <c r="H334" i="2"/>
  <c r="I334" i="2"/>
  <c r="J334" i="2"/>
  <c r="H339" i="2"/>
  <c r="I339" i="2"/>
  <c r="J339" i="2"/>
  <c r="H340" i="2"/>
  <c r="I340" i="2"/>
  <c r="J340" i="2"/>
  <c r="H341" i="2"/>
  <c r="I341" i="2"/>
  <c r="J341" i="2"/>
  <c r="H342" i="2"/>
  <c r="I342" i="2"/>
  <c r="J342" i="2"/>
  <c r="J345" i="2"/>
  <c r="I346" i="2"/>
  <c r="I347" i="2"/>
  <c r="J347" i="2"/>
  <c r="I350" i="2"/>
  <c r="J350" i="2"/>
  <c r="I352" i="2"/>
  <c r="J352" i="2"/>
  <c r="F376" i="2"/>
  <c r="G376" i="2"/>
  <c r="H376" i="2"/>
  <c r="I376" i="2"/>
  <c r="J376" i="2"/>
  <c r="F377" i="2"/>
  <c r="G377" i="2"/>
  <c r="H377" i="2"/>
  <c r="I377" i="2"/>
  <c r="J377" i="2"/>
  <c r="F378" i="2"/>
  <c r="G378" i="2"/>
  <c r="H378" i="2"/>
  <c r="I378" i="2"/>
  <c r="J378" i="2"/>
  <c r="F380" i="2"/>
  <c r="G380" i="2"/>
  <c r="H380" i="2"/>
  <c r="I380" i="2"/>
  <c r="J380" i="2"/>
  <c r="F389" i="2"/>
  <c r="G389" i="2"/>
  <c r="H389" i="2"/>
  <c r="I389" i="2"/>
  <c r="J389" i="2"/>
  <c r="F390" i="2"/>
  <c r="G390" i="2"/>
  <c r="H390" i="2"/>
  <c r="I390" i="2"/>
  <c r="J390" i="2"/>
  <c r="F394" i="2"/>
  <c r="G394" i="2"/>
  <c r="H394" i="2"/>
  <c r="I394" i="2"/>
  <c r="J394" i="2"/>
  <c r="F396" i="2"/>
  <c r="G396" i="2"/>
  <c r="H396" i="2"/>
  <c r="I396" i="2"/>
  <c r="J396" i="2"/>
  <c r="E397" i="2"/>
  <c r="I397" i="2"/>
  <c r="F399" i="2"/>
  <c r="G399" i="2"/>
  <c r="H399" i="2"/>
  <c r="I399" i="2"/>
  <c r="J399" i="2"/>
  <c r="C403" i="2"/>
  <c r="D403" i="2"/>
  <c r="F403" i="2"/>
  <c r="C404" i="2"/>
  <c r="D404" i="2"/>
  <c r="G404" i="2"/>
  <c r="C405" i="2"/>
  <c r="D405" i="2"/>
  <c r="H405" i="2"/>
  <c r="C406" i="2"/>
  <c r="D406" i="2"/>
  <c r="I406" i="2"/>
  <c r="C407" i="2"/>
  <c r="D407" i="2"/>
  <c r="I407" i="2"/>
  <c r="J407" i="2"/>
  <c r="C414" i="2"/>
  <c r="C426" i="2"/>
</calcChain>
</file>

<file path=xl/sharedStrings.xml><?xml version="1.0" encoding="utf-8"?>
<sst xmlns="http://schemas.openxmlformats.org/spreadsheetml/2006/main" count="892" uniqueCount="316">
  <si>
    <t>($ in millions)</t>
  </si>
  <si>
    <t>Step 1. Model Assumptions</t>
  </si>
  <si>
    <t>Entry Valuation</t>
  </si>
  <si>
    <t>Treasury Stock Method</t>
  </si>
  <si>
    <t>Normalized Share Price</t>
  </si>
  <si>
    <t>Common Shares Outstanding</t>
  </si>
  <si>
    <t>Offer Price Per Share</t>
  </si>
  <si>
    <t>Plus: Net Dilution</t>
  </si>
  <si>
    <t>% Premium Paid</t>
  </si>
  <si>
    <t>Fully Diluted Share Count</t>
  </si>
  <si>
    <t>Entry Equity Value</t>
  </si>
  <si>
    <t>Options</t>
  </si>
  <si>
    <t>Shares</t>
  </si>
  <si>
    <t>Strike ($)</t>
  </si>
  <si>
    <t>TSM</t>
  </si>
  <si>
    <t>Plus: Net Debt</t>
  </si>
  <si>
    <t>Entry Enterprise Value</t>
  </si>
  <si>
    <t>LTM EBITDA</t>
  </si>
  <si>
    <t>Implied Entry Multiple</t>
  </si>
  <si>
    <t>Net Dilution</t>
  </si>
  <si>
    <t>Transaction Assumptions</t>
  </si>
  <si>
    <t>Financing Assumptions</t>
  </si>
  <si>
    <t>Transaction Fee %</t>
  </si>
  <si>
    <t>Maximum Revolver Capacity</t>
  </si>
  <si>
    <t>Cash to B/S</t>
  </si>
  <si>
    <t>Unused Revolver Commitment Fee</t>
  </si>
  <si>
    <t>WSPCP Investment Amount</t>
  </si>
  <si>
    <t>Financing Fees Amortization Period</t>
  </si>
  <si>
    <t>WSPCP Monitoring Fee</t>
  </si>
  <si>
    <t>Financing Fee %</t>
  </si>
  <si>
    <t>Tax Rate</t>
  </si>
  <si>
    <t>Circuit Breaker</t>
  </si>
  <si>
    <t>Debt Assumptions</t>
  </si>
  <si>
    <t>Tranche</t>
  </si>
  <si>
    <t>x EBITDA</t>
  </si>
  <si>
    <t>Rate</t>
  </si>
  <si>
    <t>Floor</t>
  </si>
  <si>
    <t>% Amort.</t>
  </si>
  <si>
    <t>OID</t>
  </si>
  <si>
    <t>OID ($)</t>
  </si>
  <si>
    <t>Total Fees</t>
  </si>
  <si>
    <t>Revolver</t>
  </si>
  <si>
    <t>Unitranche Term Loan</t>
  </si>
  <si>
    <t>Recap Bonds</t>
  </si>
  <si>
    <t>Total Debt</t>
  </si>
  <si>
    <t>Dividend Recap Assumptions</t>
  </si>
  <si>
    <t>Add-On Assumptions</t>
  </si>
  <si>
    <t>Dividend Recap Toggle ("1" = Yes)</t>
  </si>
  <si>
    <t>Add-On Toggle ("1" = Yes)</t>
  </si>
  <si>
    <t>Maximum Leverage Multiple</t>
  </si>
  <si>
    <t>LTM EBITDA Acquisition Multiple</t>
  </si>
  <si>
    <t>Minimum Interest Coverage Ratio</t>
  </si>
  <si>
    <t>Add-On Year</t>
  </si>
  <si>
    <t>Dividend Recap Year</t>
  </si>
  <si>
    <t>Sources &amp; Uses</t>
  </si>
  <si>
    <t>Sources</t>
  </si>
  <si>
    <t>Amount</t>
  </si>
  <si>
    <t>Uses</t>
  </si>
  <si>
    <t>Purchase Equity Value</t>
  </si>
  <si>
    <t>Refinancing of Net Debt</t>
  </si>
  <si>
    <t>Lead Sponsor Equity</t>
  </si>
  <si>
    <t>Transaction Fees</t>
  </si>
  <si>
    <t>WSPCP Preferred Equity</t>
  </si>
  <si>
    <t>Financing Fees</t>
  </si>
  <si>
    <t>Total Equity</t>
  </si>
  <si>
    <t>Total Uses</t>
  </si>
  <si>
    <t>Total Sources</t>
  </si>
  <si>
    <t>Check</t>
  </si>
  <si>
    <t>Step 3. Purchase Price Allocation</t>
  </si>
  <si>
    <t>Purchase Price Allocation</t>
  </si>
  <si>
    <t>Intangible Assets Write-Up</t>
  </si>
  <si>
    <t>Intangible Assets Allocation %</t>
  </si>
  <si>
    <t>Less: Book Value of Equity</t>
  </si>
  <si>
    <t>Useful Life Assumption</t>
  </si>
  <si>
    <t>Plus: Existing Goodwill</t>
  </si>
  <si>
    <t>Incremental Annual Amortization</t>
  </si>
  <si>
    <t>Allocable Purchase Premium</t>
  </si>
  <si>
    <t>Deferred Tax Liability Created</t>
  </si>
  <si>
    <t>Less: Intangible Assets Write-Up</t>
  </si>
  <si>
    <t>Annual Unwind of DTL</t>
  </si>
  <si>
    <t>Less: PP&amp;E Write-Up</t>
  </si>
  <si>
    <t>Plus: Deferred Tax Liability</t>
  </si>
  <si>
    <t>PP&amp;E Write-Up</t>
  </si>
  <si>
    <t>Pro-Forma Goodwill</t>
  </si>
  <si>
    <t>PP&amp;E Write-Up %</t>
  </si>
  <si>
    <t>Incremental Annual Depreciation</t>
  </si>
  <si>
    <t>Step 4. Closing B/S Adjustments</t>
  </si>
  <si>
    <t>Closing Balance Sheet</t>
  </si>
  <si>
    <t>Adjustments</t>
  </si>
  <si>
    <t xml:space="preserve">Debits </t>
  </si>
  <si>
    <t>Credits</t>
  </si>
  <si>
    <t>Cash</t>
  </si>
  <si>
    <t>Accounts Receivable</t>
  </si>
  <si>
    <t>Inventory</t>
  </si>
  <si>
    <t>Prepaid Expenses</t>
  </si>
  <si>
    <t>Total Current Assets</t>
  </si>
  <si>
    <t>PP&amp;E</t>
  </si>
  <si>
    <t>Goodwill</t>
  </si>
  <si>
    <t>Intangible Assets</t>
  </si>
  <si>
    <t>Total Assets</t>
  </si>
  <si>
    <t>Accounts Payable</t>
  </si>
  <si>
    <t>Accrued Liabilities</t>
  </si>
  <si>
    <t>Deferred Revenue</t>
  </si>
  <si>
    <t>Total Current Liabilities</t>
  </si>
  <si>
    <t>Pre-LBO Debt</t>
  </si>
  <si>
    <t>Capitalized Financing Fees</t>
  </si>
  <si>
    <t>Deferred Tax Liability</t>
  </si>
  <si>
    <t>Total Liabilities</t>
  </si>
  <si>
    <t>Shareholders' Equity</t>
  </si>
  <si>
    <t>Total Liabilities + Equity</t>
  </si>
  <si>
    <t>Balance Check</t>
  </si>
  <si>
    <t>Step 5. Add-On Forecast</t>
  </si>
  <si>
    <t>TeaCo Forecast Build</t>
  </si>
  <si>
    <t>Revenue</t>
  </si>
  <si>
    <t>YoY % Growth</t>
  </si>
  <si>
    <t>Less: COGS</t>
  </si>
  <si>
    <t>Gross Profit</t>
  </si>
  <si>
    <t>Gross Margin %</t>
  </si>
  <si>
    <t>Less: SG&amp;A</t>
  </si>
  <si>
    <t>Less: R&amp;D</t>
  </si>
  <si>
    <t>EBITDA</t>
  </si>
  <si>
    <t>EBITDA Margin %</t>
  </si>
  <si>
    <t>Case Toggle</t>
  </si>
  <si>
    <t>Selected Case</t>
  </si>
  <si>
    <t>Driver Assumptions</t>
  </si>
  <si>
    <t>TeaCo Store Count (0s)</t>
  </si>
  <si>
    <t># of New Store Openings</t>
  </si>
  <si>
    <t>Average Revenue Per Store (mm)</t>
  </si>
  <si>
    <t>Annual # of Orders Per Store (000s)</t>
  </si>
  <si>
    <t>Δ in Annual Orders Per Store</t>
  </si>
  <si>
    <t>Average Order Price (0s)</t>
  </si>
  <si>
    <t>Δ in Average Order Price</t>
  </si>
  <si>
    <t>Base Case</t>
  </si>
  <si>
    <t>Upside Case</t>
  </si>
  <si>
    <t>Downside Case</t>
  </si>
  <si>
    <t>Δ in Average # of Annual Orders Per Store</t>
  </si>
  <si>
    <t>SG&amp;A % of Revenue</t>
  </si>
  <si>
    <t>R&amp;D % of Revenue</t>
  </si>
  <si>
    <t>TeaCo Acquisition Schedule</t>
  </si>
  <si>
    <t>TeaCo Acquired?</t>
  </si>
  <si>
    <t>Purchase Multiple</t>
  </si>
  <si>
    <t>Implied Acquisition Value</t>
  </si>
  <si>
    <t>Step 6. Pro Forma Financial Forecast</t>
  </si>
  <si>
    <t>Pro Forma Financial Forecast</t>
  </si>
  <si>
    <t>JoeCo Revenue</t>
  </si>
  <si>
    <t>Plus: TeaCo Revenue</t>
  </si>
  <si>
    <t>Total Revenue</t>
  </si>
  <si>
    <t>Pro Forma YoY % Growth</t>
  </si>
  <si>
    <t>Less: JoeCo COGS</t>
  </si>
  <si>
    <t>Less: TeaCo COGS</t>
  </si>
  <si>
    <t>Pro Forma Gross Margin %</t>
  </si>
  <si>
    <t>Less: JoeCo SG&amp;A</t>
  </si>
  <si>
    <t>Less: TeaCo SG&amp;A</t>
  </si>
  <si>
    <t>Less: JoeCo R&amp;D</t>
  </si>
  <si>
    <t>Less: TeaCo R&amp;D</t>
  </si>
  <si>
    <t>Less: Management Earn-Out</t>
  </si>
  <si>
    <t>Pro Forma EBITDA</t>
  </si>
  <si>
    <t>Pro Forma EBITDA Margin %</t>
  </si>
  <si>
    <t>Less: D&amp;A</t>
  </si>
  <si>
    <t>Less: Intangible Assets Write-Up Amortization</t>
  </si>
  <si>
    <t>Plus: PP&amp;E Write-Up Depreciation</t>
  </si>
  <si>
    <t>Less: WSPCP Monitoring Fees</t>
  </si>
  <si>
    <t>EBIT</t>
  </si>
  <si>
    <t>Pro Forma Operating Margin %</t>
  </si>
  <si>
    <t>Less: Interest Expense</t>
  </si>
  <si>
    <t>Less: Amortization of Financing Fees &amp; OID</t>
  </si>
  <si>
    <t>EBT</t>
  </si>
  <si>
    <t>Less: Taxes</t>
  </si>
  <si>
    <t>Net Income</t>
  </si>
  <si>
    <t>Plus: D&amp;A</t>
  </si>
  <si>
    <t>Plus: Amortization of Financing Fees &amp; OID</t>
  </si>
  <si>
    <t>Plus: Intangible Assets Write-Up Amortization</t>
  </si>
  <si>
    <t>Less: Deferred Tax Liability Unwind</t>
  </si>
  <si>
    <t>Less: Δ in NWC</t>
  </si>
  <si>
    <t>Less: Capex</t>
  </si>
  <si>
    <t>Less: TeaCo Acquisition</t>
  </si>
  <si>
    <t>Less: Mandatory Amortization</t>
  </si>
  <si>
    <t>Plus: Recap Bonds Draw</t>
  </si>
  <si>
    <t>Less: Recap Dividend Issuance</t>
  </si>
  <si>
    <t>Free Cash Flow (Pre-Revolver)</t>
  </si>
  <si>
    <t>Revolver Drawdown / (Paydown)</t>
  </si>
  <si>
    <t>Free Cash Flow (Optional Paydown)</t>
  </si>
  <si>
    <t>Less: Cash Sweep</t>
  </si>
  <si>
    <t>Cash Flow After Financing Activities</t>
  </si>
  <si>
    <t>Cash Roll-Forward</t>
  </si>
  <si>
    <t>Beginning Cash Balance</t>
  </si>
  <si>
    <t>Net Change in Cash Flow</t>
  </si>
  <si>
    <t>Ending Cash Balance</t>
  </si>
  <si>
    <t>JoeCo Standalone Operating Assumptions</t>
  </si>
  <si>
    <t>Revenue Growth %</t>
  </si>
  <si>
    <t>D&amp;A % of Revenue</t>
  </si>
  <si>
    <t>Capex % of Revenue</t>
  </si>
  <si>
    <t>Δ in NWC % of Revenue</t>
  </si>
  <si>
    <t>Step 7. Management Contingency Payments</t>
  </si>
  <si>
    <t>Management Contingency Payments</t>
  </si>
  <si>
    <t>Performance Targets</t>
  </si>
  <si>
    <t>EBITDA Targets</t>
  </si>
  <si>
    <t>Minimum EBITDA</t>
  </si>
  <si>
    <t>Min.</t>
  </si>
  <si>
    <t>Midpoint EBITDA</t>
  </si>
  <si>
    <t>Mid.</t>
  </si>
  <si>
    <t>Outperformance EBITDA</t>
  </si>
  <si>
    <t>Out.</t>
  </si>
  <si>
    <t>Maximum Earn-Out Amount</t>
  </si>
  <si>
    <t>LTM Actual EBITDA</t>
  </si>
  <si>
    <t>Management Earn-Outs</t>
  </si>
  <si>
    <t>Total Compensation Earn-Outs</t>
  </si>
  <si>
    <t>Excess EBITDA Amount</t>
  </si>
  <si>
    <t>Excess Over Minimum</t>
  </si>
  <si>
    <t>Excess Over Midpoint</t>
  </si>
  <si>
    <t>Pro-Rata Adjustments</t>
  </si>
  <si>
    <t>Total Bonuses Paid</t>
  </si>
  <si>
    <t>Step 8. Debt Schedule</t>
  </si>
  <si>
    <t>Debt Schedule</t>
  </si>
  <si>
    <t>LIBOR (bps)</t>
  </si>
  <si>
    <t>Excess Cash Available for Revolver</t>
  </si>
  <si>
    <t>Beginning Balance</t>
  </si>
  <si>
    <t>Ending Balance</t>
  </si>
  <si>
    <t>Beginning Available Capacity</t>
  </si>
  <si>
    <t>Ending Available Capacity</t>
  </si>
  <si>
    <t>Revolver Compliance Check</t>
  </si>
  <si>
    <t>Revolver Interest Rate</t>
  </si>
  <si>
    <t>Revolver Interest Expense</t>
  </si>
  <si>
    <t>Unused Commitment Fee</t>
  </si>
  <si>
    <t>Excess Cash Available for Unitranche Term Loan</t>
  </si>
  <si>
    <t>Unitranche Term Loan Interest Rate</t>
  </si>
  <si>
    <t>Unitranche Term Loan Interest Expense</t>
  </si>
  <si>
    <t>Dividend Recap Bonds Capacity</t>
  </si>
  <si>
    <t>Maximum Recap Bonds Capacity</t>
  </si>
  <si>
    <t>Less: Total Outstanding Debt</t>
  </si>
  <si>
    <t>Available Recap Bonds Capacity</t>
  </si>
  <si>
    <t>Dividend Recap Completed?</t>
  </si>
  <si>
    <t>Maintenance Covenant Test</t>
  </si>
  <si>
    <t>Total Debt / EBITDA</t>
  </si>
  <si>
    <t>Leverage Multiple Compliance Check</t>
  </si>
  <si>
    <t>EBITDA / Interest</t>
  </si>
  <si>
    <t>Interest Coverage Compliance Check</t>
  </si>
  <si>
    <t>Dividend Recap Bonds</t>
  </si>
  <si>
    <t>Plus: Dividend Recap</t>
  </si>
  <si>
    <t>Recap Bonds Interest Rate</t>
  </si>
  <si>
    <t>Recap Bonds Interest Expense</t>
  </si>
  <si>
    <t>Recap Bonds Financing Fees Amortization</t>
  </si>
  <si>
    <t>Step 9. Capitalization Table</t>
  </si>
  <si>
    <t>Equity Ownership Structure</t>
  </si>
  <si>
    <t>Initial Common Shares Outstanding</t>
  </si>
  <si>
    <t>Pre-Dilution</t>
  </si>
  <si>
    <t>% Ownership</t>
  </si>
  <si>
    <t>Lead Sponsor Common Shares</t>
  </si>
  <si>
    <t>Sponsors Equity</t>
  </si>
  <si>
    <t xml:space="preserve">WSPCP Converted Preferred Shares </t>
  </si>
  <si>
    <t>Rollover Equity</t>
  </si>
  <si>
    <t>Management Options</t>
  </si>
  <si>
    <t>Total Common Share Count</t>
  </si>
  <si>
    <t>Management Option Pool</t>
  </si>
  <si>
    <t>Post-Dilution</t>
  </si>
  <si>
    <t>Investment Assumptions</t>
  </si>
  <si>
    <t>Post-Closing Share Price</t>
  </si>
  <si>
    <t>Preferred Equity PIK Rate</t>
  </si>
  <si>
    <t>WSPCP Initial Investment</t>
  </si>
  <si>
    <t>Preferred Convertible Shares</t>
  </si>
  <si>
    <t>WSPCP Preferred Investment % of Initial Equity</t>
  </si>
  <si>
    <t>Convertible Equity Strike Price</t>
  </si>
  <si>
    <t>Management Pool Amount</t>
  </si>
  <si>
    <t>Management Strike Price</t>
  </si>
  <si>
    <t>Management Exercisable Shares</t>
  </si>
  <si>
    <t>Management Exercised Shares</t>
  </si>
  <si>
    <t>Total Common Shares Outstanding</t>
  </si>
  <si>
    <t>Implied Share Price</t>
  </si>
  <si>
    <t>Step 10. Returns Calculation</t>
  </si>
  <si>
    <t>Exit Valuation</t>
  </si>
  <si>
    <t>Exit LTM EBITDA</t>
  </si>
  <si>
    <t>Exit Multiple Assumption</t>
  </si>
  <si>
    <t>Exit Enterprise Value</t>
  </si>
  <si>
    <t>Less: Net Debt</t>
  </si>
  <si>
    <t>Exit Equity Value</t>
  </si>
  <si>
    <t>WSPCP Investment Returns Profile</t>
  </si>
  <si>
    <t>Option 1: Accrued Preferred Equity Value</t>
  </si>
  <si>
    <t>Option 2: Convertible Preferred Equity Value</t>
  </si>
  <si>
    <t>Exit Proceeds to WSPCP</t>
  </si>
  <si>
    <t>Recap Year:</t>
  </si>
  <si>
    <t>Plus: Recap Dividend to WSPCP</t>
  </si>
  <si>
    <t>Amount:</t>
  </si>
  <si>
    <t>Plus: WSPCP Monitoring Fees</t>
  </si>
  <si>
    <t>Total Proceeds to WSPCP</t>
  </si>
  <si>
    <t>Cash (Outflows) / Inflows</t>
  </si>
  <si>
    <t>IRR</t>
  </si>
  <si>
    <t>MOIC</t>
  </si>
  <si>
    <t>Sensitivity Tables – Assuming Year 5 Exit</t>
  </si>
  <si>
    <t>Internal Rate of Return (IRR)</t>
  </si>
  <si>
    <t>Exit Multiple</t>
  </si>
  <si>
    <t>Offer Price</t>
  </si>
  <si>
    <t>Per Share</t>
  </si>
  <si>
    <t>Multiple on Invested Capital (MOIC)</t>
  </si>
  <si>
    <t>JoeCo Balance Sheet</t>
  </si>
  <si>
    <t>TeaCo Financials</t>
  </si>
  <si>
    <t>N/A</t>
  </si>
  <si>
    <t>TeaCo Driver Assumptions</t>
  </si>
  <si>
    <t>JoeCo Driver Assumptions</t>
  </si>
  <si>
    <t>JoeCo Financials</t>
  </si>
  <si>
    <t>Less: PP&amp;E Write-Up Depreciation</t>
  </si>
  <si>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</si>
  <si>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</si>
  <si>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</si>
  <si>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</si>
  <si>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</si>
  <si>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</si>
  <si>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</si>
  <si>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Advanced LBO Modeling Test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</si>
  <si>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Advanced LBO Modeling Test</t>
    </r>
  </si>
  <si>
    <t>Advanced LBO Modeling Test</t>
  </si>
  <si>
    <t>x</t>
  </si>
  <si>
    <t>Circularity Switch</t>
  </si>
  <si>
    <t>Step 2. Sources and Uses Table</t>
  </si>
  <si>
    <t>Financials</t>
  </si>
  <si>
    <t>TeaCo Store and Order Count</t>
  </si>
  <si>
    <t>Financing Fees w/ OID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</si>
</sst>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164" formatCode="&quot;$&quot;#,##0.00_);\(&quot;$&quot;#,##0.00\)_);\-\-_)"/>
    <numFmt numFmtId="165" formatCode="#,##0_);\(#,##0\);\-\-_)"/>
    <numFmt numFmtId="166" formatCode="0.0%_);\(0.0%\);\-\-_)"/>
    <numFmt numFmtId="167" formatCode="&quot;$&quot;#,##0_);\(&quot;$&quot;#,##0\);&quot;-  &quot;"/>
    <numFmt numFmtId="168" formatCode="&quot;$&quot;#,##0_);\(&quot;$&quot;#,##0\);\-\-_)"/>
    <numFmt numFmtId="169" formatCode="&quot;Tranche&quot;\ 0"/>
    <numFmt numFmtId="170" formatCode="#,##0.0_);\(#,##0.0\);\-\-_)"/>
    <numFmt numFmtId="171" formatCode="#,##0.0\x_);\(#,##0.0\x\);\-\-_)"/>
    <numFmt numFmtId="172" formatCode="0.00%_);\(0.00%\);\-\-_)"/>
    <numFmt numFmtId="173" formatCode="0\ &quot;Years&quot;\ "/>
    <numFmt numFmtId="174" formatCode="0\ "/>
    <numFmt numFmtId="175" formatCode="&quot;$&quot;#,##0_);\(&quot;$&quot;#,##0\)\ ;&quot;-  &quot;"/>
    <numFmt numFmtId="176" formatCode="0.0\x_);\(0.0\x\);&quot;--&quot;_)"/>
    <numFmt numFmtId="177" formatCode="&quot;L +&quot;\ 0\ "/>
    <numFmt numFmtId="178" formatCode="&quot;Yes&quot;_);&quot;Yes&quot;_);&quot;No&quot;_)"/>
    <numFmt numFmtId="179" formatCode="0.0\x\ "/>
    <numFmt numFmtId="180" formatCode="0_)"/>
    <numFmt numFmtId="181" formatCode="#,##0.0%_);\(#,##0.0%\);&quot;--&quot;_%_);@_%_)"/>
    <numFmt numFmtId="182" formatCode="0\ &quot;Years&quot;_)"/>
    <numFmt numFmtId="183" formatCode="0\ &quot;Years&quot;"/>
    <numFmt numFmtId="184" formatCode="0&quot;A&quot;_)"/>
    <numFmt numFmtId="185" formatCode="0&quot;PF&quot;_)"/>
    <numFmt numFmtId="186" formatCode="&quot;$&quot;#,##0_);\(&quot;$&quot;#,##0\);&quot;--&quot;_);@_)"/>
    <numFmt numFmtId="187" formatCode="0&quot;E&quot;_)"/>
    <numFmt numFmtId="188" formatCode="#,##0.00_);\(#,##0.00\);\-\-_)"/>
    <numFmt numFmtId="189" formatCode="&quot;$&quot;#,##0.00_);\(&quot;$&quot;#,##0.00\);\-\-_)"/>
    <numFmt numFmtId="190" formatCode="&quot;Yes&quot;_);;&quot;No&quot;_)"/>
    <numFmt numFmtId="191" formatCode="&quot;Compliant&quot;_);&quot;Compliant&quot;_);&quot;Breached&quot;_)"/>
    <numFmt numFmtId="192" formatCode="#,##0_);\(#,##0\);&quot;-  &quot;"/>
    <numFmt numFmtId="193" formatCode="#,##0_);\(#,##0\)\ ;&quot;-  &quot;"/>
    <numFmt numFmtId="194" formatCode="0&quot;E&quot;"/>
    <numFmt numFmtId="195" formatCode="&quot;$&quot;#,##0.0_);\(&quot;$&quot;#,##0.0\);\-\-_)"/>
    <numFmt numFmtId="196" formatCode="&quot;$&quot;#,##0_);\(&quot;$&quot;#,##0\)_);\-\-_)"/>
    <numFmt numFmtId="197" formatCode="0.0%;\(0.0%\);&quot;-  &quot;"/>
    <numFmt numFmtId="198" formatCode="#,##0_);\(#,##0\);&quot;--&quot;_);@_)"/>
    <numFmt numFmtId="199" formatCode="&quot;Compliant&quot;_);&quot;Compliant&quot;_);&quot;Overdrawn&quot;_);"/>
    <numFmt numFmtId="200" formatCode="&quot;$&quot;#,##0_);\(&quot;$&quot;#,##0\);\-_)"/>
    <numFmt numFmtId="201" formatCode="&quot;Compliant&quot;_);&quot;Compliant&quot;_);&quot;Breached&quot;_);"/>
    <numFmt numFmtId="202" formatCode="&quot;$&quot;#,##0.000000_);\(&quot;$&quot;#,##0.000000\);\-_)"/>
    <numFmt numFmtId="203" formatCode="&quot;Accrued&quot;_);;&quot;Convertible&quot;_)"/>
    <numFmt numFmtId="204" formatCode="&quot;Exit Year&quot;\ 0"/>
    <numFmt numFmtId="205" formatCode="0.0%"/>
    <numFmt numFmtId="206" formatCode="0.0%;\(0.0%\)"/>
    <numFmt numFmtId="207" formatCode="0.0\x"/>
    <numFmt numFmtId="208" formatCode="#,##0_);\(#,##0\);\-\-_);@_)"/>
    <numFmt numFmtId="209" formatCode="mm/dd/yy_)"/>
    <numFmt numFmtId="210" formatCode="&quot;OFF&quot;_);&quot;OFF&quot;_);&quot;ON&quot;_)"/>
  </numFmts>
  <fonts count="2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FF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u/>
      <sz val="10"/>
      <color theme="10"/>
      <name val="Calibri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FE9F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7" fillId="0" borderId="0" applyNumberFormat="0" applyFont="0" applyFill="0" applyBorder="0" applyAlignment="0" applyProtection="0"/>
  </cellStyleXfs>
  <cellXfs count="448">
    <xf numFmtId="0" fontId="0" fillId="0" borderId="0" xfId="0"/>
    <xf numFmtId="0" fontId="2" fillId="0" borderId="1" xfId="0" applyFont="1" applyBorder="1"/>
    <xf numFmtId="0" fontId="2" fillId="0" borderId="0" xfId="0" applyFont="1" applyAlignment="1">
      <alignment horizontal="centerContinuous"/>
    </xf>
    <xf numFmtId="0" fontId="4" fillId="2" borderId="2" xfId="0" applyFont="1" applyFill="1" applyBorder="1"/>
    <xf numFmtId="164" fontId="5" fillId="0" borderId="0" xfId="0" applyNumberFormat="1" applyFont="1"/>
    <xf numFmtId="165" fontId="5" fillId="3" borderId="0" xfId="0" applyNumberFormat="1" applyFont="1" applyFill="1"/>
    <xf numFmtId="164" fontId="6" fillId="0" borderId="0" xfId="0" applyNumberFormat="1" applyFont="1"/>
    <xf numFmtId="165" fontId="6" fillId="3" borderId="2" xfId="0" applyNumberFormat="1" applyFont="1" applyFill="1" applyBorder="1"/>
    <xf numFmtId="0" fontId="2" fillId="0" borderId="0" xfId="0" applyFont="1"/>
    <xf numFmtId="165" fontId="4" fillId="0" borderId="0" xfId="0" applyNumberFormat="1" applyFont="1"/>
    <xf numFmtId="167" fontId="2" fillId="0" borderId="0" xfId="0" applyNumberFormat="1" applyFont="1"/>
    <xf numFmtId="168" fontId="4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170" fontId="5" fillId="3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170" fontId="5" fillId="3" borderId="2" xfId="0" applyNumberFormat="1" applyFont="1" applyFill="1" applyBorder="1" applyAlignment="1">
      <alignment horizontal="right"/>
    </xf>
    <xf numFmtId="164" fontId="5" fillId="3" borderId="2" xfId="0" applyNumberFormat="1" applyFont="1" applyFill="1" applyBorder="1" applyAlignment="1">
      <alignment horizontal="right"/>
    </xf>
    <xf numFmtId="171" fontId="4" fillId="0" borderId="0" xfId="0" applyNumberFormat="1" applyFont="1"/>
    <xf numFmtId="0" fontId="2" fillId="0" borderId="0" xfId="0" applyFont="1" applyAlignment="1">
      <alignment horizontal="right"/>
    </xf>
    <xf numFmtId="170" fontId="4" fillId="0" borderId="0" xfId="0" applyNumberFormat="1" applyFont="1" applyAlignment="1">
      <alignment horizontal="right"/>
    </xf>
    <xf numFmtId="166" fontId="5" fillId="3" borderId="0" xfId="0" applyNumberFormat="1" applyFont="1" applyFill="1"/>
    <xf numFmtId="168" fontId="5" fillId="3" borderId="0" xfId="0" applyNumberFormat="1" applyFont="1" applyFill="1"/>
    <xf numFmtId="172" fontId="5" fillId="0" borderId="0" xfId="0" applyNumberFormat="1" applyFont="1"/>
    <xf numFmtId="173" fontId="5" fillId="0" borderId="0" xfId="0" applyNumberFormat="1" applyFont="1"/>
    <xf numFmtId="166" fontId="5" fillId="0" borderId="0" xfId="0" applyNumberFormat="1" applyFont="1"/>
    <xf numFmtId="174" fontId="5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/>
    </xf>
    <xf numFmtId="175" fontId="2" fillId="0" borderId="1" xfId="0" applyNumberFormat="1" applyFont="1" applyBorder="1" applyAlignment="1">
      <alignment horizontal="right"/>
    </xf>
    <xf numFmtId="176" fontId="5" fillId="0" borderId="0" xfId="0" applyNumberFormat="1" applyFont="1"/>
    <xf numFmtId="177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165" fontId="6" fillId="0" borderId="0" xfId="0" applyNumberFormat="1" applyFont="1"/>
    <xf numFmtId="165" fontId="5" fillId="0" borderId="0" xfId="0" applyNumberFormat="1" applyFont="1"/>
    <xf numFmtId="176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165" fontId="5" fillId="0" borderId="2" xfId="0" applyNumberFormat="1" applyFont="1" applyBorder="1"/>
    <xf numFmtId="176" fontId="2" fillId="0" borderId="0" xfId="0" applyNumberFormat="1" applyFont="1" applyAlignment="1">
      <alignment horizontal="right"/>
    </xf>
    <xf numFmtId="178" fontId="5" fillId="0" borderId="0" xfId="0" applyNumberFormat="1" applyFont="1"/>
    <xf numFmtId="179" fontId="6" fillId="0" borderId="0" xfId="0" applyNumberFormat="1" applyFont="1"/>
    <xf numFmtId="171" fontId="5" fillId="0" borderId="0" xfId="0" applyNumberFormat="1" applyFont="1"/>
    <xf numFmtId="179" fontId="5" fillId="0" borderId="0" xfId="0" applyNumberFormat="1" applyFont="1"/>
    <xf numFmtId="180" fontId="5" fillId="0" borderId="0" xfId="0" applyNumberFormat="1" applyFont="1" applyAlignment="1">
      <alignment horizontal="right"/>
    </xf>
    <xf numFmtId="0" fontId="6" fillId="2" borderId="2" xfId="0" applyFont="1" applyFill="1" applyBorder="1"/>
    <xf numFmtId="0" fontId="2" fillId="0" borderId="1" xfId="0" applyFont="1" applyBorder="1" applyAlignment="1">
      <alignment horizontal="left"/>
    </xf>
    <xf numFmtId="168" fontId="6" fillId="0" borderId="0" xfId="0" applyNumberFormat="1" applyFont="1"/>
    <xf numFmtId="165" fontId="6" fillId="0" borderId="2" xfId="0" applyNumberFormat="1" applyFont="1" applyBorder="1"/>
    <xf numFmtId="168" fontId="2" fillId="0" borderId="0" xfId="0" applyNumberFormat="1" applyFont="1"/>
    <xf numFmtId="181" fontId="5" fillId="0" borderId="0" xfId="1" applyNumberFormat="1" applyFont="1" applyBorder="1"/>
    <xf numFmtId="182" fontId="5" fillId="0" borderId="0" xfId="0" applyNumberFormat="1" applyFont="1"/>
    <xf numFmtId="166" fontId="5" fillId="0" borderId="0" xfId="1" applyNumberFormat="1" applyFont="1" applyBorder="1"/>
    <xf numFmtId="183" fontId="5" fillId="0" borderId="0" xfId="0" applyNumberFormat="1" applyFont="1"/>
    <xf numFmtId="184" fontId="4" fillId="2" borderId="2" xfId="0" applyNumberFormat="1" applyFont="1" applyFill="1" applyBorder="1"/>
    <xf numFmtId="0" fontId="4" fillId="2" borderId="2" xfId="0" applyFont="1" applyFill="1" applyBorder="1" applyAlignment="1">
      <alignment horizontal="centerContinuous"/>
    </xf>
    <xf numFmtId="185" fontId="4" fillId="2" borderId="2" xfId="0" applyNumberFormat="1" applyFont="1" applyFill="1" applyBorder="1"/>
    <xf numFmtId="0" fontId="2" fillId="4" borderId="3" xfId="0" applyFont="1" applyFill="1" applyBorder="1" applyAlignment="1">
      <alignment horizontal="center"/>
    </xf>
    <xf numFmtId="186" fontId="2" fillId="4" borderId="4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186" fontId="8" fillId="0" borderId="6" xfId="0" applyNumberFormat="1" applyFont="1" applyBorder="1" applyAlignment="1">
      <alignment horizontal="center"/>
    </xf>
    <xf numFmtId="168" fontId="5" fillId="0" borderId="0" xfId="0" applyNumberFormat="1" applyFont="1"/>
    <xf numFmtId="165" fontId="2" fillId="0" borderId="5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87" fontId="4" fillId="2" borderId="2" xfId="0" applyNumberFormat="1" applyFont="1" applyFill="1" applyBorder="1"/>
    <xf numFmtId="168" fontId="9" fillId="0" borderId="0" xfId="0" applyNumberFormat="1" applyFont="1"/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2" fillId="4" borderId="0" xfId="0" applyFont="1" applyFill="1"/>
    <xf numFmtId="168" fontId="9" fillId="4" borderId="0" xfId="0" applyNumberFormat="1" applyFont="1" applyFill="1"/>
    <xf numFmtId="168" fontId="2" fillId="4" borderId="0" xfId="0" applyNumberFormat="1" applyFont="1" applyFill="1"/>
    <xf numFmtId="0" fontId="8" fillId="0" borderId="0" xfId="0" applyFont="1"/>
    <xf numFmtId="166" fontId="6" fillId="0" borderId="0" xfId="0" applyNumberFormat="1" applyFont="1" applyAlignment="1">
      <alignment horizontal="right"/>
    </xf>
    <xf numFmtId="191" fontId="6" fillId="0" borderId="0" xfId="0" applyNumberFormat="1" applyFont="1" applyAlignment="1">
      <alignment horizontal="center"/>
    </xf>
    <xf numFmtId="0" fontId="2" fillId="0" borderId="10" xfId="0" applyFont="1" applyBorder="1"/>
    <xf numFmtId="168" fontId="4" fillId="0" borderId="10" xfId="0" applyNumberFormat="1" applyFont="1" applyBorder="1"/>
    <xf numFmtId="168" fontId="6" fillId="0" borderId="2" xfId="0" applyNumberFormat="1" applyFont="1" applyBorder="1"/>
    <xf numFmtId="170" fontId="5" fillId="0" borderId="2" xfId="0" applyNumberFormat="1" applyFont="1" applyBorder="1"/>
    <xf numFmtId="0" fontId="4" fillId="2" borderId="2" xfId="0" applyFont="1" applyFill="1" applyBorder="1" applyAlignment="1">
      <alignment horizontal="left" indent="1"/>
    </xf>
    <xf numFmtId="181" fontId="4" fillId="2" borderId="2" xfId="0" applyNumberFormat="1" applyFont="1" applyFill="1" applyBorder="1" applyAlignment="1">
      <alignment horizontal="right"/>
    </xf>
    <xf numFmtId="165" fontId="6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centerContinuous"/>
    </xf>
    <xf numFmtId="165" fontId="10" fillId="0" borderId="0" xfId="0" applyNumberFormat="1" applyFont="1" applyAlignment="1">
      <alignment horizontal="centerContinuous"/>
    </xf>
    <xf numFmtId="164" fontId="5" fillId="0" borderId="0" xfId="0" applyNumberFormat="1" applyFont="1" applyAlignment="1">
      <alignment horizontal="right"/>
    </xf>
    <xf numFmtId="168" fontId="5" fillId="0" borderId="4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right"/>
    </xf>
    <xf numFmtId="194" fontId="2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right"/>
    </xf>
    <xf numFmtId="164" fontId="2" fillId="0" borderId="0" xfId="0" applyNumberFormat="1" applyFont="1"/>
    <xf numFmtId="194" fontId="8" fillId="0" borderId="0" xfId="0" applyNumberFormat="1" applyFont="1" applyAlignment="1">
      <alignment horizontal="left"/>
    </xf>
    <xf numFmtId="194" fontId="2" fillId="0" borderId="2" xfId="0" applyNumberFormat="1" applyFont="1" applyBorder="1" applyAlignment="1">
      <alignment horizontal="left"/>
    </xf>
    <xf numFmtId="188" fontId="6" fillId="0" borderId="0" xfId="0" applyNumberFormat="1" applyFont="1" applyAlignment="1">
      <alignment horizontal="right"/>
    </xf>
    <xf numFmtId="0" fontId="2" fillId="2" borderId="2" xfId="0" applyFont="1" applyFill="1" applyBorder="1"/>
    <xf numFmtId="187" fontId="2" fillId="2" borderId="2" xfId="0" applyNumberFormat="1" applyFont="1" applyFill="1" applyBorder="1"/>
    <xf numFmtId="197" fontId="6" fillId="0" borderId="0" xfId="0" applyNumberFormat="1" applyFont="1" applyAlignment="1">
      <alignment horizontal="right"/>
    </xf>
    <xf numFmtId="0" fontId="2" fillId="0" borderId="3" xfId="0" applyFont="1" applyBorder="1"/>
    <xf numFmtId="168" fontId="2" fillId="0" borderId="1" xfId="0" applyNumberFormat="1" applyFont="1" applyBorder="1"/>
    <xf numFmtId="168" fontId="2" fillId="0" borderId="9" xfId="0" applyNumberFormat="1" applyFont="1" applyBorder="1"/>
    <xf numFmtId="0" fontId="11" fillId="0" borderId="0" xfId="0" applyFont="1"/>
    <xf numFmtId="199" fontId="6" fillId="0" borderId="4" xfId="0" applyNumberFormat="1" applyFont="1" applyBorder="1" applyAlignment="1">
      <alignment horizontal="center"/>
    </xf>
    <xf numFmtId="189" fontId="6" fillId="0" borderId="0" xfId="0" applyNumberFormat="1" applyFont="1"/>
    <xf numFmtId="198" fontId="6" fillId="0" borderId="0" xfId="0" applyNumberFormat="1" applyFont="1"/>
    <xf numFmtId="200" fontId="6" fillId="0" borderId="0" xfId="0" applyNumberFormat="1" applyFont="1"/>
    <xf numFmtId="171" fontId="6" fillId="0" borderId="0" xfId="0" applyNumberFormat="1" applyFont="1" applyAlignment="1">
      <alignment horizontal="right"/>
    </xf>
    <xf numFmtId="201" fontId="6" fillId="0" borderId="4" xfId="0" applyNumberFormat="1" applyFont="1" applyBorder="1" applyAlignment="1">
      <alignment horizontal="center" vertical="top"/>
    </xf>
    <xf numFmtId="202" fontId="6" fillId="0" borderId="0" xfId="0" applyNumberFormat="1" applyFont="1"/>
    <xf numFmtId="168" fontId="5" fillId="0" borderId="0" xfId="0" applyNumberFormat="1" applyFont="1" applyAlignment="1">
      <alignment horizontal="right"/>
    </xf>
    <xf numFmtId="165" fontId="6" fillId="0" borderId="2" xfId="0" applyNumberFormat="1" applyFont="1" applyBorder="1" applyAlignment="1">
      <alignment horizontal="right"/>
    </xf>
    <xf numFmtId="200" fontId="4" fillId="0" borderId="0" xfId="0" applyNumberFormat="1" applyFont="1" applyAlignment="1">
      <alignment horizontal="centerContinuous"/>
    </xf>
    <xf numFmtId="166" fontId="5" fillId="0" borderId="2" xfId="1" applyNumberFormat="1" applyFont="1" applyBorder="1"/>
    <xf numFmtId="200" fontId="6" fillId="0" borderId="2" xfId="0" applyNumberFormat="1" applyFont="1" applyBorder="1"/>
    <xf numFmtId="166" fontId="2" fillId="0" borderId="0" xfId="0" applyNumberFormat="1" applyFont="1"/>
    <xf numFmtId="166" fontId="5" fillId="0" borderId="0" xfId="1" applyNumberFormat="1" applyFont="1"/>
    <xf numFmtId="0" fontId="6" fillId="0" borderId="0" xfId="0" applyFont="1" applyAlignment="1">
      <alignment wrapText="1"/>
    </xf>
    <xf numFmtId="0" fontId="6" fillId="0" borderId="0" xfId="0" applyFont="1"/>
    <xf numFmtId="166" fontId="6" fillId="0" borderId="0" xfId="0" applyNumberFormat="1" applyFont="1"/>
    <xf numFmtId="189" fontId="5" fillId="0" borderId="0" xfId="0" applyNumberFormat="1" applyFont="1"/>
    <xf numFmtId="0" fontId="6" fillId="0" borderId="2" xfId="0" applyFont="1" applyBorder="1"/>
    <xf numFmtId="166" fontId="6" fillId="0" borderId="2" xfId="0" applyNumberFormat="1" applyFont="1" applyBorder="1"/>
    <xf numFmtId="0" fontId="4" fillId="0" borderId="0" xfId="0" applyFont="1"/>
    <xf numFmtId="166" fontId="4" fillId="0" borderId="0" xfId="0" applyNumberFormat="1" applyFont="1"/>
    <xf numFmtId="165" fontId="2" fillId="0" borderId="0" xfId="0" applyNumberFormat="1" applyFont="1"/>
    <xf numFmtId="166" fontId="2" fillId="0" borderId="1" xfId="0" applyNumberFormat="1" applyFont="1" applyBorder="1"/>
    <xf numFmtId="164" fontId="4" fillId="0" borderId="1" xfId="0" applyNumberFormat="1" applyFont="1" applyBorder="1"/>
    <xf numFmtId="164" fontId="4" fillId="0" borderId="9" xfId="0" applyNumberFormat="1" applyFont="1" applyBorder="1"/>
    <xf numFmtId="198" fontId="2" fillId="0" borderId="0" xfId="0" applyNumberFormat="1" applyFont="1"/>
    <xf numFmtId="171" fontId="5" fillId="0" borderId="2" xfId="0" applyNumberFormat="1" applyFont="1" applyBorder="1"/>
    <xf numFmtId="184" fontId="2" fillId="4" borderId="0" xfId="0" applyNumberFormat="1" applyFont="1" applyFill="1"/>
    <xf numFmtId="187" fontId="2" fillId="4" borderId="0" xfId="0" applyNumberFormat="1" applyFont="1" applyFill="1"/>
    <xf numFmtId="168" fontId="6" fillId="0" borderId="4" xfId="0" applyNumberFormat="1" applyFont="1" applyBorder="1" applyAlignment="1">
      <alignment horizontal="right"/>
    </xf>
    <xf numFmtId="168" fontId="6" fillId="2" borderId="2" xfId="0" applyNumberFormat="1" applyFont="1" applyFill="1" applyBorder="1" applyAlignment="1">
      <alignment horizontal="centerContinuous"/>
    </xf>
    <xf numFmtId="0" fontId="2" fillId="4" borderId="3" xfId="0" applyFont="1" applyFill="1" applyBorder="1" applyAlignment="1">
      <alignment horizontal="centerContinuous"/>
    </xf>
    <xf numFmtId="205" fontId="3" fillId="0" borderId="0" xfId="0" applyNumberFormat="1" applyFont="1"/>
    <xf numFmtId="171" fontId="5" fillId="0" borderId="0" xfId="0" applyNumberFormat="1" applyFont="1" applyAlignment="1">
      <alignment horizontal="center"/>
    </xf>
    <xf numFmtId="207" fontId="3" fillId="0" borderId="0" xfId="0" applyNumberFormat="1" applyFont="1"/>
    <xf numFmtId="164" fontId="5" fillId="6" borderId="0" xfId="0" applyNumberFormat="1" applyFont="1" applyFill="1"/>
    <xf numFmtId="164" fontId="6" fillId="6" borderId="0" xfId="0" applyNumberFormat="1" applyFont="1" applyFill="1"/>
    <xf numFmtId="165" fontId="6" fillId="7" borderId="2" xfId="0" applyNumberFormat="1" applyFont="1" applyFill="1" applyBorder="1"/>
    <xf numFmtId="168" fontId="4" fillId="6" borderId="0" xfId="0" applyNumberFormat="1" applyFont="1" applyFill="1"/>
    <xf numFmtId="171" fontId="4" fillId="6" borderId="0" xfId="0" applyNumberFormat="1" applyFont="1" applyFill="1"/>
    <xf numFmtId="165" fontId="5" fillId="7" borderId="0" xfId="0" applyNumberFormat="1" applyFont="1" applyFill="1"/>
    <xf numFmtId="165" fontId="4" fillId="6" borderId="0" xfId="0" applyNumberFormat="1" applyFont="1" applyFill="1"/>
    <xf numFmtId="170" fontId="4" fillId="6" borderId="0" xfId="0" applyNumberFormat="1" applyFont="1" applyFill="1" applyAlignment="1">
      <alignment horizontal="right"/>
    </xf>
    <xf numFmtId="170" fontId="5" fillId="7" borderId="0" xfId="0" applyNumberFormat="1" applyFont="1" applyFill="1" applyAlignment="1">
      <alignment horizontal="right"/>
    </xf>
    <xf numFmtId="164" fontId="5" fillId="7" borderId="0" xfId="0" applyNumberFormat="1" applyFont="1" applyFill="1" applyAlignment="1">
      <alignment horizontal="right"/>
    </xf>
    <xf numFmtId="170" fontId="5" fillId="7" borderId="2" xfId="0" applyNumberFormat="1" applyFont="1" applyFill="1" applyBorder="1" applyAlignment="1">
      <alignment horizontal="right"/>
    </xf>
    <xf numFmtId="164" fontId="5" fillId="7" borderId="2" xfId="0" applyNumberFormat="1" applyFont="1" applyFill="1" applyBorder="1" applyAlignment="1">
      <alignment horizontal="right"/>
    </xf>
    <xf numFmtId="166" fontId="5" fillId="7" borderId="0" xfId="0" applyNumberFormat="1" applyFont="1" applyFill="1"/>
    <xf numFmtId="168" fontId="5" fillId="7" borderId="0" xfId="0" applyNumberFormat="1" applyFont="1" applyFill="1"/>
    <xf numFmtId="172" fontId="5" fillId="6" borderId="0" xfId="0" applyNumberFormat="1" applyFont="1" applyFill="1"/>
    <xf numFmtId="173" fontId="5" fillId="6" borderId="0" xfId="0" applyNumberFormat="1" applyFont="1" applyFill="1"/>
    <xf numFmtId="166" fontId="5" fillId="6" borderId="0" xfId="0" applyNumberFormat="1" applyFont="1" applyFill="1"/>
    <xf numFmtId="37" fontId="5" fillId="6" borderId="0" xfId="0" applyNumberFormat="1" applyFont="1" applyFill="1" applyAlignment="1">
      <alignment horizontal="right"/>
    </xf>
    <xf numFmtId="176" fontId="5" fillId="6" borderId="0" xfId="0" applyNumberFormat="1" applyFont="1" applyFill="1"/>
    <xf numFmtId="177" fontId="5" fillId="6" borderId="0" xfId="0" applyNumberFormat="1" applyFont="1" applyFill="1" applyAlignment="1">
      <alignment horizontal="right"/>
    </xf>
    <xf numFmtId="166" fontId="5" fillId="6" borderId="0" xfId="0" applyNumberFormat="1" applyFont="1" applyFill="1" applyAlignment="1">
      <alignment horizontal="right"/>
    </xf>
    <xf numFmtId="165" fontId="6" fillId="6" borderId="0" xfId="0" applyNumberFormat="1" applyFont="1" applyFill="1"/>
    <xf numFmtId="165" fontId="5" fillId="6" borderId="0" xfId="0" applyNumberFormat="1" applyFont="1" applyFill="1"/>
    <xf numFmtId="176" fontId="5" fillId="6" borderId="2" xfId="0" applyNumberFormat="1" applyFont="1" applyFill="1" applyBorder="1" applyAlignment="1">
      <alignment horizontal="right"/>
    </xf>
    <xf numFmtId="166" fontId="5" fillId="6" borderId="2" xfId="0" applyNumberFormat="1" applyFont="1" applyFill="1" applyBorder="1" applyAlignment="1">
      <alignment horizontal="right"/>
    </xf>
    <xf numFmtId="165" fontId="5" fillId="6" borderId="2" xfId="0" applyNumberFormat="1" applyFont="1" applyFill="1" applyBorder="1" applyAlignment="1">
      <alignment horizontal="right"/>
    </xf>
    <xf numFmtId="165" fontId="5" fillId="6" borderId="2" xfId="0" applyNumberFormat="1" applyFont="1" applyFill="1" applyBorder="1"/>
    <xf numFmtId="176" fontId="2" fillId="6" borderId="0" xfId="0" applyNumberFormat="1" applyFont="1" applyFill="1" applyAlignment="1">
      <alignment horizontal="right"/>
    </xf>
    <xf numFmtId="178" fontId="5" fillId="6" borderId="0" xfId="0" applyNumberFormat="1" applyFont="1" applyFill="1"/>
    <xf numFmtId="179" fontId="6" fillId="6" borderId="0" xfId="0" applyNumberFormat="1" applyFont="1" applyFill="1"/>
    <xf numFmtId="179" fontId="5" fillId="6" borderId="0" xfId="0" applyNumberFormat="1" applyFont="1" applyFill="1"/>
    <xf numFmtId="180" fontId="5" fillId="6" borderId="0" xfId="0" applyNumberFormat="1" applyFont="1" applyFill="1" applyAlignment="1">
      <alignment horizontal="right"/>
    </xf>
    <xf numFmtId="171" fontId="5" fillId="6" borderId="0" xfId="0" applyNumberFormat="1" applyFont="1" applyFill="1"/>
    <xf numFmtId="168" fontId="6" fillId="6" borderId="0" xfId="0" applyNumberFormat="1" applyFont="1" applyFill="1"/>
    <xf numFmtId="165" fontId="6" fillId="6" borderId="2" xfId="0" applyNumberFormat="1" applyFont="1" applyFill="1" applyBorder="1"/>
    <xf numFmtId="168" fontId="2" fillId="6" borderId="0" xfId="0" applyNumberFormat="1" applyFont="1" applyFill="1"/>
    <xf numFmtId="181" fontId="5" fillId="6" borderId="0" xfId="1" applyNumberFormat="1" applyFont="1" applyFill="1" applyBorder="1"/>
    <xf numFmtId="182" fontId="5" fillId="6" borderId="0" xfId="0" applyNumberFormat="1" applyFont="1" applyFill="1"/>
    <xf numFmtId="166" fontId="5" fillId="6" borderId="0" xfId="1" applyNumberFormat="1" applyFont="1" applyFill="1" applyBorder="1"/>
    <xf numFmtId="183" fontId="5" fillId="6" borderId="0" xfId="0" applyNumberFormat="1" applyFont="1" applyFill="1"/>
    <xf numFmtId="168" fontId="5" fillId="6" borderId="0" xfId="0" applyNumberFormat="1" applyFont="1" applyFill="1"/>
    <xf numFmtId="168" fontId="5" fillId="0" borderId="2" xfId="0" applyNumberFormat="1" applyFont="1" applyBorder="1"/>
    <xf numFmtId="168" fontId="9" fillId="6" borderId="0" xfId="0" applyNumberFormat="1" applyFont="1" applyFill="1"/>
    <xf numFmtId="0" fontId="5" fillId="6" borderId="4" xfId="0" applyFont="1" applyFill="1" applyBorder="1" applyAlignment="1">
      <alignment horizontal="center"/>
    </xf>
    <xf numFmtId="168" fontId="4" fillId="6" borderId="10" xfId="0" applyNumberFormat="1" applyFont="1" applyFill="1" applyBorder="1"/>
    <xf numFmtId="168" fontId="6" fillId="6" borderId="2" xfId="0" applyNumberFormat="1" applyFont="1" applyFill="1" applyBorder="1"/>
    <xf numFmtId="170" fontId="5" fillId="6" borderId="2" xfId="0" applyNumberFormat="1" applyFont="1" applyFill="1" applyBorder="1"/>
    <xf numFmtId="0" fontId="2" fillId="6" borderId="0" xfId="0" applyFont="1" applyFill="1"/>
    <xf numFmtId="168" fontId="5" fillId="6" borderId="4" xfId="0" applyNumberFormat="1" applyFont="1" applyFill="1" applyBorder="1" applyAlignment="1">
      <alignment horizontal="center"/>
    </xf>
    <xf numFmtId="164" fontId="5" fillId="6" borderId="0" xfId="0" applyNumberFormat="1" applyFont="1" applyFill="1" applyAlignment="1">
      <alignment horizontal="right"/>
    </xf>
    <xf numFmtId="164" fontId="5" fillId="6" borderId="2" xfId="0" applyNumberFormat="1" applyFont="1" applyFill="1" applyBorder="1" applyAlignment="1">
      <alignment horizontal="right"/>
    </xf>
    <xf numFmtId="195" fontId="4" fillId="6" borderId="0" xfId="0" applyNumberFormat="1" applyFont="1" applyFill="1" applyAlignment="1">
      <alignment horizontal="right"/>
    </xf>
    <xf numFmtId="164" fontId="2" fillId="6" borderId="0" xfId="0" applyNumberFormat="1" applyFont="1" applyFill="1"/>
    <xf numFmtId="168" fontId="2" fillId="6" borderId="1" xfId="0" applyNumberFormat="1" applyFont="1" applyFill="1" applyBorder="1"/>
    <xf numFmtId="168" fontId="2" fillId="6" borderId="9" xfId="0" applyNumberFormat="1" applyFont="1" applyFill="1" applyBorder="1"/>
    <xf numFmtId="199" fontId="6" fillId="6" borderId="4" xfId="0" applyNumberFormat="1" applyFont="1" applyFill="1" applyBorder="1" applyAlignment="1">
      <alignment horizontal="center"/>
    </xf>
    <xf numFmtId="189" fontId="6" fillId="6" borderId="0" xfId="0" applyNumberFormat="1" applyFont="1" applyFill="1"/>
    <xf numFmtId="171" fontId="6" fillId="6" borderId="0" xfId="0" applyNumberFormat="1" applyFont="1" applyFill="1" applyAlignment="1">
      <alignment horizontal="right"/>
    </xf>
    <xf numFmtId="201" fontId="6" fillId="6" borderId="4" xfId="0" applyNumberFormat="1" applyFont="1" applyFill="1" applyBorder="1" applyAlignment="1">
      <alignment horizontal="center" vertical="top"/>
    </xf>
    <xf numFmtId="168" fontId="5" fillId="6" borderId="0" xfId="0" applyNumberFormat="1" applyFont="1" applyFill="1" applyAlignment="1">
      <alignment horizontal="right"/>
    </xf>
    <xf numFmtId="168" fontId="6" fillId="6" borderId="0" xfId="0" applyNumberFormat="1" applyFont="1" applyFill="1" applyAlignment="1">
      <alignment horizontal="right"/>
    </xf>
    <xf numFmtId="165" fontId="6" fillId="6" borderId="2" xfId="0" applyNumberFormat="1" applyFont="1" applyFill="1" applyBorder="1" applyAlignment="1">
      <alignment horizontal="right"/>
    </xf>
    <xf numFmtId="166" fontId="5" fillId="6" borderId="2" xfId="1" applyNumberFormat="1" applyFont="1" applyFill="1" applyBorder="1"/>
    <xf numFmtId="166" fontId="2" fillId="6" borderId="0" xfId="0" applyNumberFormat="1" applyFont="1" applyFill="1"/>
    <xf numFmtId="166" fontId="5" fillId="6" borderId="0" xfId="1" applyNumberFormat="1" applyFont="1" applyFill="1"/>
    <xf numFmtId="166" fontId="6" fillId="6" borderId="0" xfId="0" applyNumberFormat="1" applyFont="1" applyFill="1"/>
    <xf numFmtId="166" fontId="6" fillId="6" borderId="2" xfId="0" applyNumberFormat="1" applyFont="1" applyFill="1" applyBorder="1"/>
    <xf numFmtId="166" fontId="4" fillId="6" borderId="0" xfId="0" applyNumberFormat="1" applyFont="1" applyFill="1"/>
    <xf numFmtId="189" fontId="5" fillId="6" borderId="0" xfId="0" applyNumberFormat="1" applyFont="1" applyFill="1"/>
    <xf numFmtId="165" fontId="2" fillId="6" borderId="0" xfId="0" applyNumberFormat="1" applyFont="1" applyFill="1"/>
    <xf numFmtId="164" fontId="4" fillId="6" borderId="1" xfId="0" applyNumberFormat="1" applyFont="1" applyFill="1" applyBorder="1"/>
    <xf numFmtId="164" fontId="4" fillId="6" borderId="9" xfId="0" applyNumberFormat="1" applyFont="1" applyFill="1" applyBorder="1"/>
    <xf numFmtId="171" fontId="5" fillId="6" borderId="2" xfId="0" applyNumberFormat="1" applyFont="1" applyFill="1" applyBorder="1"/>
    <xf numFmtId="168" fontId="6" fillId="6" borderId="4" xfId="0" applyNumberFormat="1" applyFont="1" applyFill="1" applyBorder="1" applyAlignment="1">
      <alignment horizontal="right"/>
    </xf>
    <xf numFmtId="205" fontId="3" fillId="6" borderId="0" xfId="0" applyNumberFormat="1" applyFont="1" applyFill="1"/>
    <xf numFmtId="171" fontId="5" fillId="6" borderId="0" xfId="0" applyNumberFormat="1" applyFont="1" applyFill="1" applyAlignment="1">
      <alignment horizontal="center"/>
    </xf>
    <xf numFmtId="207" fontId="3" fillId="6" borderId="0" xfId="0" applyNumberFormat="1" applyFont="1" applyFill="1"/>
    <xf numFmtId="168" fontId="6" fillId="0" borderId="4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right"/>
    </xf>
    <xf numFmtId="208" fontId="1" fillId="2" borderId="0" xfId="2" applyNumberFormat="1" applyFont="1" applyFill="1"/>
    <xf numFmtId="49" fontId="1" fillId="8" borderId="12" xfId="2" applyNumberFormat="1" applyFont="1" applyFill="1" applyBorder="1"/>
    <xf numFmtId="49" fontId="1" fillId="8" borderId="13" xfId="2" applyNumberFormat="1" applyFont="1" applyFill="1" applyBorder="1"/>
    <xf numFmtId="49" fontId="6" fillId="8" borderId="14" xfId="2" applyNumberFormat="1" applyFont="1" applyFill="1" applyBorder="1"/>
    <xf numFmtId="49" fontId="6" fillId="9" borderId="12" xfId="2" applyNumberFormat="1" applyFont="1" applyFill="1" applyBorder="1"/>
    <xf numFmtId="49" fontId="6" fillId="9" borderId="13" xfId="2" applyNumberFormat="1" applyFont="1" applyFill="1" applyBorder="1"/>
    <xf numFmtId="49" fontId="1" fillId="9" borderId="14" xfId="2" applyNumberFormat="1" applyFont="1" applyFill="1" applyBorder="1"/>
    <xf numFmtId="49" fontId="1" fillId="8" borderId="15" xfId="2" applyNumberFormat="1" applyFont="1" applyFill="1" applyBorder="1"/>
    <xf numFmtId="49" fontId="6" fillId="8" borderId="17" xfId="2" applyNumberFormat="1" applyFont="1" applyFill="1" applyBorder="1"/>
    <xf numFmtId="49" fontId="6" fillId="9" borderId="15" xfId="2" applyNumberFormat="1" applyFont="1" applyFill="1" applyBorder="1"/>
    <xf numFmtId="49" fontId="1" fillId="9" borderId="17" xfId="2" applyNumberFormat="1" applyFont="1" applyFill="1" applyBorder="1"/>
    <xf numFmtId="49" fontId="1" fillId="8" borderId="0" xfId="2" applyNumberFormat="1" applyFont="1" applyFill="1"/>
    <xf numFmtId="49" fontId="7" fillId="9" borderId="0" xfId="2" applyNumberFormat="1" applyFont="1" applyFill="1" applyAlignment="1">
      <alignment vertical="center" wrapText="1"/>
    </xf>
    <xf numFmtId="49" fontId="6" fillId="9" borderId="15" xfId="2" applyNumberFormat="1" applyFont="1" applyFill="1" applyBorder="1" applyAlignment="1">
      <alignment horizontal="center" wrapText="1"/>
    </xf>
    <xf numFmtId="49" fontId="1" fillId="8" borderId="0" xfId="2" applyNumberFormat="1" applyFont="1" applyFill="1" applyAlignment="1">
      <alignment horizontal="center" wrapText="1"/>
    </xf>
    <xf numFmtId="49" fontId="6" fillId="9" borderId="0" xfId="2" applyNumberFormat="1" applyFont="1" applyFill="1"/>
    <xf numFmtId="49" fontId="6" fillId="9" borderId="15" xfId="2" applyNumberFormat="1" applyFont="1" applyFill="1" applyBorder="1" applyAlignment="1">
      <alignment vertical="center"/>
    </xf>
    <xf numFmtId="49" fontId="4" fillId="9" borderId="23" xfId="2" applyNumberFormat="1" applyFont="1" applyFill="1" applyBorder="1" applyAlignment="1" applyProtection="1">
      <alignment vertical="center"/>
      <protection locked="0"/>
    </xf>
    <xf numFmtId="49" fontId="1" fillId="9" borderId="17" xfId="2" applyNumberFormat="1" applyFont="1" applyFill="1" applyBorder="1" applyAlignment="1">
      <alignment vertical="center"/>
    </xf>
    <xf numFmtId="49" fontId="20" fillId="9" borderId="0" xfId="2" applyNumberFormat="1" applyFont="1" applyFill="1" applyAlignment="1" applyProtection="1">
      <alignment vertical="center"/>
      <protection locked="0"/>
    </xf>
    <xf numFmtId="49" fontId="4" fillId="9" borderId="17" xfId="2" applyNumberFormat="1" applyFont="1" applyFill="1" applyBorder="1" applyAlignment="1" applyProtection="1">
      <alignment vertical="center"/>
      <protection locked="0"/>
    </xf>
    <xf numFmtId="49" fontId="6" fillId="8" borderId="17" xfId="2" applyNumberFormat="1" applyFont="1" applyFill="1" applyBorder="1" applyAlignment="1">
      <alignment horizontal="center"/>
    </xf>
    <xf numFmtId="49" fontId="6" fillId="0" borderId="0" xfId="2" applyNumberFormat="1" applyFont="1"/>
    <xf numFmtId="49" fontId="6" fillId="8" borderId="19" xfId="2" applyNumberFormat="1" applyFont="1" applyFill="1" applyBorder="1"/>
    <xf numFmtId="49" fontId="6" fillId="8" borderId="20" xfId="2" applyNumberFormat="1" applyFont="1" applyFill="1" applyBorder="1"/>
    <xf numFmtId="49" fontId="6" fillId="8" borderId="22" xfId="2" applyNumberFormat="1" applyFont="1" applyFill="1" applyBorder="1"/>
    <xf numFmtId="49" fontId="6" fillId="9" borderId="19" xfId="2" applyNumberFormat="1" applyFont="1" applyFill="1" applyBorder="1"/>
    <xf numFmtId="49" fontId="6" fillId="9" borderId="20" xfId="2" applyNumberFormat="1" applyFont="1" applyFill="1" applyBorder="1"/>
    <xf numFmtId="49" fontId="1" fillId="9" borderId="22" xfId="2" applyNumberFormat="1" applyFont="1" applyFill="1" applyBorder="1"/>
    <xf numFmtId="167" fontId="0" fillId="0" borderId="0" xfId="0" applyNumberFormat="1"/>
    <xf numFmtId="0" fontId="0" fillId="0" borderId="2" xfId="0" applyBorder="1"/>
    <xf numFmtId="165" fontId="0" fillId="0" borderId="0" xfId="0" applyNumberFormat="1"/>
    <xf numFmtId="0" fontId="0" fillId="0" borderId="3" xfId="0" applyBorder="1"/>
    <xf numFmtId="0" fontId="0" fillId="0" borderId="1" xfId="0" applyBorder="1"/>
    <xf numFmtId="166" fontId="6" fillId="0" borderId="1" xfId="0" applyNumberFormat="1" applyFont="1" applyBorder="1" applyAlignment="1">
      <alignment horizontal="right"/>
    </xf>
    <xf numFmtId="166" fontId="6" fillId="0" borderId="9" xfId="0" applyNumberFormat="1" applyFont="1" applyBorder="1" applyAlignment="1">
      <alignment horizontal="right"/>
    </xf>
    <xf numFmtId="0" fontId="0" fillId="0" borderId="0" xfId="0" applyAlignment="1">
      <alignment horizontal="left" indent="1"/>
    </xf>
    <xf numFmtId="166" fontId="1" fillId="0" borderId="1" xfId="1" applyNumberFormat="1" applyFont="1" applyFill="1" applyBorder="1"/>
    <xf numFmtId="0" fontId="0" fillId="0" borderId="1" xfId="0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165" fontId="6" fillId="0" borderId="9" xfId="0" applyNumberFormat="1" applyFont="1" applyBorder="1" applyAlignment="1">
      <alignment horizontal="right"/>
    </xf>
    <xf numFmtId="189" fontId="6" fillId="0" borderId="1" xfId="0" applyNumberFormat="1" applyFont="1" applyBorder="1" applyAlignment="1">
      <alignment horizontal="right"/>
    </xf>
    <xf numFmtId="189" fontId="6" fillId="0" borderId="9" xfId="0" applyNumberFormat="1" applyFont="1" applyBorder="1" applyAlignment="1">
      <alignment horizontal="right"/>
    </xf>
    <xf numFmtId="0" fontId="0" fillId="0" borderId="0" xfId="0" applyAlignment="1">
      <alignment horizontal="centerContinuous"/>
    </xf>
    <xf numFmtId="169" fontId="0" fillId="0" borderId="0" xfId="0" applyNumberFormat="1" applyAlignment="1">
      <alignment horizontal="left"/>
    </xf>
    <xf numFmtId="170" fontId="0" fillId="6" borderId="0" xfId="0" applyNumberFormat="1" applyFill="1" applyAlignment="1">
      <alignment horizontal="right"/>
    </xf>
    <xf numFmtId="169" fontId="0" fillId="0" borderId="2" xfId="0" applyNumberFormat="1" applyBorder="1" applyAlignment="1">
      <alignment horizontal="left"/>
    </xf>
    <xf numFmtId="170" fontId="0" fillId="6" borderId="2" xfId="0" applyNumberFormat="1" applyFill="1" applyBorder="1" applyAlignment="1">
      <alignment horizontal="right"/>
    </xf>
    <xf numFmtId="168" fontId="0" fillId="6" borderId="0" xfId="0" applyNumberFormat="1" applyFill="1"/>
    <xf numFmtId="165" fontId="0" fillId="6" borderId="0" xfId="0" applyNumberFormat="1" applyFill="1"/>
    <xf numFmtId="167" fontId="0" fillId="0" borderId="2" xfId="0" applyNumberFormat="1" applyBorder="1"/>
    <xf numFmtId="168" fontId="0" fillId="0" borderId="0" xfId="0" applyNumberFormat="1"/>
    <xf numFmtId="165" fontId="0" fillId="6" borderId="5" xfId="0" applyNumberFormat="1" applyFill="1" applyBorder="1" applyAlignment="1">
      <alignment horizontal="center"/>
    </xf>
    <xf numFmtId="165" fontId="0" fillId="6" borderId="6" xfId="0" applyNumberFormat="1" applyFill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6" borderId="7" xfId="0" applyNumberFormat="1" applyFill="1" applyBorder="1" applyAlignment="1">
      <alignment horizontal="center"/>
    </xf>
    <xf numFmtId="165" fontId="0" fillId="0" borderId="5" xfId="0" applyNumberFormat="1" applyBorder="1"/>
    <xf numFmtId="165" fontId="0" fillId="0" borderId="6" xfId="0" applyNumberFormat="1" applyBorder="1"/>
    <xf numFmtId="165" fontId="0" fillId="6" borderId="8" xfId="0" applyNumberFormat="1" applyFill="1" applyBorder="1" applyAlignment="1">
      <alignment horizontal="center"/>
    </xf>
    <xf numFmtId="166" fontId="0" fillId="6" borderId="0" xfId="0" applyNumberFormat="1" applyFill="1" applyAlignment="1">
      <alignment horizontal="right"/>
    </xf>
    <xf numFmtId="166" fontId="0" fillId="0" borderId="0" xfId="0" applyNumberFormat="1"/>
    <xf numFmtId="165" fontId="0" fillId="6" borderId="2" xfId="0" applyNumberFormat="1" applyFill="1" applyBorder="1"/>
    <xf numFmtId="166" fontId="0" fillId="6" borderId="0" xfId="0" applyNumberFormat="1" applyFill="1"/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165" fontId="0" fillId="6" borderId="0" xfId="0" applyNumberFormat="1" applyFill="1" applyAlignment="1">
      <alignment horizontal="right"/>
    </xf>
    <xf numFmtId="164" fontId="0" fillId="6" borderId="0" xfId="0" applyNumberFormat="1" applyFill="1"/>
    <xf numFmtId="166" fontId="0" fillId="0" borderId="0" xfId="0" applyNumberFormat="1" applyAlignment="1">
      <alignment horizontal="right"/>
    </xf>
    <xf numFmtId="188" fontId="0" fillId="6" borderId="0" xfId="0" applyNumberFormat="1" applyFill="1" applyAlignment="1">
      <alignment horizontal="right"/>
    </xf>
    <xf numFmtId="188" fontId="0" fillId="0" borderId="0" xfId="0" applyNumberFormat="1"/>
    <xf numFmtId="189" fontId="0" fillId="6" borderId="0" xfId="0" applyNumberFormat="1" applyFill="1" applyAlignment="1">
      <alignment horizontal="right"/>
    </xf>
    <xf numFmtId="166" fontId="6" fillId="6" borderId="1" xfId="0" applyNumberFormat="1" applyFont="1" applyFill="1" applyBorder="1" applyAlignment="1">
      <alignment horizontal="right"/>
    </xf>
    <xf numFmtId="165" fontId="6" fillId="6" borderId="1" xfId="0" applyNumberFormat="1" applyFont="1" applyFill="1" applyBorder="1" applyAlignment="1">
      <alignment horizontal="right"/>
    </xf>
    <xf numFmtId="165" fontId="6" fillId="6" borderId="9" xfId="0" applyNumberFormat="1" applyFont="1" applyFill="1" applyBorder="1" applyAlignment="1">
      <alignment horizontal="right"/>
    </xf>
    <xf numFmtId="189" fontId="6" fillId="6" borderId="1" xfId="0" applyNumberFormat="1" applyFont="1" applyFill="1" applyBorder="1" applyAlignment="1">
      <alignment horizontal="right"/>
    </xf>
    <xf numFmtId="189" fontId="6" fillId="6" borderId="9" xfId="0" applyNumberFormat="1" applyFont="1" applyFill="1" applyBorder="1" applyAlignment="1">
      <alignment horizontal="right"/>
    </xf>
    <xf numFmtId="166" fontId="1" fillId="6" borderId="1" xfId="1" applyNumberFormat="1" applyFont="1" applyFill="1" applyBorder="1"/>
    <xf numFmtId="166" fontId="6" fillId="6" borderId="9" xfId="0" applyNumberFormat="1" applyFont="1" applyFill="1" applyBorder="1" applyAlignment="1">
      <alignment horizontal="right"/>
    </xf>
    <xf numFmtId="190" fontId="0" fillId="6" borderId="4" xfId="0" applyNumberFormat="1" applyFill="1" applyBorder="1" applyAlignment="1">
      <alignment horizontal="center"/>
    </xf>
    <xf numFmtId="190" fontId="0" fillId="0" borderId="0" xfId="0" applyNumberFormat="1" applyAlignment="1">
      <alignment horizontal="right"/>
    </xf>
    <xf numFmtId="171" fontId="0" fillId="6" borderId="0" xfId="0" applyNumberFormat="1" applyFill="1"/>
    <xf numFmtId="0" fontId="0" fillId="6" borderId="0" xfId="0" applyFill="1"/>
    <xf numFmtId="0" fontId="0" fillId="6" borderId="2" xfId="0" applyFill="1" applyBorder="1"/>
    <xf numFmtId="192" fontId="0" fillId="0" borderId="0" xfId="0" applyNumberFormat="1"/>
    <xf numFmtId="193" fontId="0" fillId="0" borderId="0" xfId="0" applyNumberFormat="1"/>
    <xf numFmtId="0" fontId="0" fillId="6" borderId="1" xfId="0" applyFill="1" applyBorder="1" applyAlignment="1">
      <alignment horizontal="right"/>
    </xf>
    <xf numFmtId="19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94" fontId="0" fillId="0" borderId="2" xfId="0" applyNumberFormat="1" applyBorder="1" applyAlignment="1">
      <alignment horizontal="left"/>
    </xf>
    <xf numFmtId="195" fontId="0" fillId="0" borderId="0" xfId="0" applyNumberFormat="1"/>
    <xf numFmtId="188" fontId="0" fillId="6" borderId="0" xfId="0" applyNumberFormat="1" applyFill="1"/>
    <xf numFmtId="195" fontId="0" fillId="0" borderId="2" xfId="0" applyNumberFormat="1" applyBorder="1"/>
    <xf numFmtId="188" fontId="0" fillId="6" borderId="2" xfId="0" applyNumberFormat="1" applyFill="1" applyBorder="1"/>
    <xf numFmtId="188" fontId="0" fillId="0" borderId="0" xfId="0" applyNumberFormat="1" applyAlignment="1">
      <alignment horizontal="right"/>
    </xf>
    <xf numFmtId="196" fontId="0" fillId="6" borderId="0" xfId="0" applyNumberFormat="1" applyFill="1"/>
    <xf numFmtId="194" fontId="0" fillId="0" borderId="0" xfId="0" applyNumberFormat="1" applyAlignment="1">
      <alignment horizontal="left" indent="1"/>
    </xf>
    <xf numFmtId="164" fontId="0" fillId="0" borderId="0" xfId="0" applyNumberFormat="1"/>
    <xf numFmtId="170" fontId="0" fillId="0" borderId="2" xfId="0" applyNumberFormat="1" applyBorder="1"/>
    <xf numFmtId="16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178" fontId="0" fillId="6" borderId="4" xfId="0" applyNumberFormat="1" applyFill="1" applyBorder="1" applyAlignment="1">
      <alignment horizontal="center" vertical="top"/>
    </xf>
    <xf numFmtId="0" fontId="0" fillId="2" borderId="2" xfId="0" applyFill="1" applyBorder="1"/>
    <xf numFmtId="0" fontId="0" fillId="0" borderId="0" xfId="0" applyAlignment="1">
      <alignment wrapText="1"/>
    </xf>
    <xf numFmtId="198" fontId="0" fillId="0" borderId="2" xfId="0" applyNumberFormat="1" applyBorder="1"/>
    <xf numFmtId="171" fontId="0" fillId="6" borderId="2" xfId="0" applyNumberFormat="1" applyFill="1" applyBorder="1"/>
    <xf numFmtId="166" fontId="0" fillId="0" borderId="2" xfId="0" applyNumberFormat="1" applyBorder="1"/>
    <xf numFmtId="198" fontId="0" fillId="0" borderId="0" xfId="0" applyNumberFormat="1"/>
    <xf numFmtId="203" fontId="0" fillId="0" borderId="0" xfId="0" applyNumberFormat="1" applyAlignment="1">
      <alignment horizontal="right"/>
    </xf>
    <xf numFmtId="180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65" fontId="0" fillId="0" borderId="2" xfId="0" applyNumberFormat="1" applyBorder="1"/>
    <xf numFmtId="204" fontId="0" fillId="0" borderId="0" xfId="0" applyNumberFormat="1" applyAlignment="1">
      <alignment horizontal="left" vertical="center"/>
    </xf>
    <xf numFmtId="166" fontId="0" fillId="0" borderId="0" xfId="0" applyNumberFormat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204" fontId="0" fillId="2" borderId="2" xfId="0" applyNumberFormat="1" applyFill="1" applyBorder="1" applyAlignment="1">
      <alignment horizontal="centerContinuous" vertical="center"/>
    </xf>
    <xf numFmtId="168" fontId="0" fillId="2" borderId="2" xfId="0" applyNumberFormat="1" applyFill="1" applyBorder="1" applyAlignment="1">
      <alignment horizontal="centerContinuous"/>
    </xf>
    <xf numFmtId="0" fontId="0" fillId="4" borderId="1" xfId="0" applyFill="1" applyBorder="1" applyAlignment="1">
      <alignment horizontal="centerContinuous"/>
    </xf>
    <xf numFmtId="0" fontId="0" fillId="4" borderId="9" xfId="0" applyFill="1" applyBorder="1" applyAlignment="1">
      <alignment horizontal="centerContinuous"/>
    </xf>
    <xf numFmtId="171" fontId="0" fillId="6" borderId="0" xfId="0" applyNumberFormat="1" applyFill="1" applyAlignment="1">
      <alignment horizontal="center"/>
    </xf>
    <xf numFmtId="189" fontId="0" fillId="6" borderId="0" xfId="0" applyNumberFormat="1" applyFill="1"/>
    <xf numFmtId="206" fontId="0" fillId="6" borderId="4" xfId="0" applyNumberFormat="1" applyFill="1" applyBorder="1" applyAlignment="1">
      <alignment horizontal="center"/>
    </xf>
    <xf numFmtId="207" fontId="0" fillId="6" borderId="4" xfId="0" applyNumberFormat="1" applyFill="1" applyBorder="1" applyAlignment="1">
      <alignment horizontal="center"/>
    </xf>
    <xf numFmtId="170" fontId="0" fillId="0" borderId="0" xfId="0" applyNumberFormat="1" applyAlignment="1">
      <alignment horizontal="right"/>
    </xf>
    <xf numFmtId="170" fontId="0" fillId="0" borderId="2" xfId="0" applyNumberFormat="1" applyBorder="1" applyAlignment="1">
      <alignment horizontal="right"/>
    </xf>
    <xf numFmtId="189" fontId="0" fillId="0" borderId="0" xfId="0" applyNumberFormat="1" applyAlignment="1">
      <alignment horizontal="right"/>
    </xf>
    <xf numFmtId="190" fontId="0" fillId="0" borderId="4" xfId="0" applyNumberFormat="1" applyBorder="1" applyAlignment="1">
      <alignment horizontal="center"/>
    </xf>
    <xf numFmtId="171" fontId="0" fillId="0" borderId="0" xfId="0" applyNumberFormat="1"/>
    <xf numFmtId="188" fontId="0" fillId="0" borderId="2" xfId="0" applyNumberFormat="1" applyBorder="1"/>
    <xf numFmtId="196" fontId="0" fillId="0" borderId="0" xfId="0" applyNumberFormat="1"/>
    <xf numFmtId="178" fontId="0" fillId="0" borderId="4" xfId="0" applyNumberFormat="1" applyBorder="1" applyAlignment="1">
      <alignment horizontal="center" vertical="top"/>
    </xf>
    <xf numFmtId="171" fontId="0" fillId="0" borderId="2" xfId="0" applyNumberFormat="1" applyBorder="1"/>
    <xf numFmtId="180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89" fontId="0" fillId="0" borderId="0" xfId="0" applyNumberFormat="1"/>
    <xf numFmtId="206" fontId="0" fillId="0" borderId="4" xfId="0" applyNumberFormat="1" applyBorder="1" applyAlignment="1">
      <alignment horizontal="center"/>
    </xf>
    <xf numFmtId="207" fontId="0" fillId="0" borderId="4" xfId="0" applyNumberFormat="1" applyBorder="1" applyAlignment="1">
      <alignment horizontal="center"/>
    </xf>
    <xf numFmtId="209" fontId="0" fillId="0" borderId="0" xfId="0" applyNumberFormat="1"/>
    <xf numFmtId="209" fontId="0" fillId="0" borderId="10" xfId="0" applyNumberFormat="1" applyBorder="1"/>
    <xf numFmtId="0" fontId="2" fillId="2" borderId="0" xfId="0" applyFont="1" applyFill="1"/>
    <xf numFmtId="166" fontId="0" fillId="0" borderId="6" xfId="0" applyNumberFormat="1" applyBorder="1" applyAlignment="1">
      <alignment horizontal="center"/>
    </xf>
    <xf numFmtId="171" fontId="0" fillId="0" borderId="24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171" fontId="0" fillId="0" borderId="11" xfId="0" applyNumberForma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66" fontId="0" fillId="6" borderId="6" xfId="0" applyNumberFormat="1" applyFill="1" applyBorder="1" applyAlignment="1">
      <alignment horizontal="center"/>
    </xf>
    <xf numFmtId="171" fontId="0" fillId="6" borderId="24" xfId="0" applyNumberFormat="1" applyFill="1" applyBorder="1" applyAlignment="1">
      <alignment horizontal="center"/>
    </xf>
    <xf numFmtId="166" fontId="0" fillId="6" borderId="8" xfId="0" applyNumberFormat="1" applyFill="1" applyBorder="1" applyAlignment="1">
      <alignment horizontal="center"/>
    </xf>
    <xf numFmtId="171" fontId="0" fillId="6" borderId="11" xfId="0" applyNumberFormat="1" applyFill="1" applyBorder="1" applyAlignment="1">
      <alignment horizontal="center"/>
    </xf>
    <xf numFmtId="0" fontId="0" fillId="2" borderId="0" xfId="0" applyFill="1"/>
    <xf numFmtId="0" fontId="2" fillId="4" borderId="0" xfId="0" applyFont="1" applyFill="1" applyAlignment="1">
      <alignment horizontal="centerContinuous"/>
    </xf>
    <xf numFmtId="192" fontId="2" fillId="2" borderId="0" xfId="0" applyNumberFormat="1" applyFont="1" applyFill="1"/>
    <xf numFmtId="0" fontId="2" fillId="2" borderId="0" xfId="0" applyFont="1" applyFill="1" applyAlignment="1">
      <alignment horizontal="left"/>
    </xf>
    <xf numFmtId="210" fontId="5" fillId="0" borderId="0" xfId="0" applyNumberFormat="1" applyFont="1" applyAlignment="1">
      <alignment horizontal="right"/>
    </xf>
    <xf numFmtId="165" fontId="2" fillId="2" borderId="0" xfId="0" applyNumberFormat="1" applyFont="1" applyFill="1"/>
    <xf numFmtId="165" fontId="0" fillId="0" borderId="1" xfId="0" applyNumberFormat="1" applyBorder="1"/>
    <xf numFmtId="165" fontId="4" fillId="2" borderId="2" xfId="0" applyNumberFormat="1" applyFont="1" applyFill="1" applyBorder="1"/>
    <xf numFmtId="165" fontId="2" fillId="0" borderId="0" xfId="0" applyNumberFormat="1" applyFont="1" applyAlignment="1">
      <alignment horizontal="right"/>
    </xf>
    <xf numFmtId="165" fontId="0" fillId="0" borderId="0" xfId="0" applyNumberFormat="1" applyAlignment="1">
      <alignment horizontal="left" indent="1"/>
    </xf>
    <xf numFmtId="165" fontId="5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centerContinuous"/>
    </xf>
    <xf numFmtId="165" fontId="6" fillId="2" borderId="2" xfId="0" applyNumberFormat="1" applyFont="1" applyFill="1" applyBorder="1"/>
    <xf numFmtId="165" fontId="2" fillId="0" borderId="1" xfId="0" applyNumberFormat="1" applyFont="1" applyBorder="1"/>
    <xf numFmtId="165" fontId="4" fillId="2" borderId="2" xfId="0" applyNumberFormat="1" applyFont="1" applyFill="1" applyBorder="1" applyAlignment="1">
      <alignment horizontal="centerContinuous"/>
    </xf>
    <xf numFmtId="165" fontId="8" fillId="0" borderId="5" xfId="0" applyNumberFormat="1" applyFont="1" applyBorder="1" applyAlignment="1">
      <alignment horizontal="center"/>
    </xf>
    <xf numFmtId="165" fontId="8" fillId="0" borderId="6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9" fillId="4" borderId="0" xfId="0" applyNumberFormat="1" applyFont="1" applyFill="1"/>
    <xf numFmtId="165" fontId="2" fillId="4" borderId="0" xfId="0" applyNumberFormat="1" applyFont="1" applyFill="1"/>
    <xf numFmtId="165" fontId="9" fillId="0" borderId="0" xfId="0" applyNumberFormat="1" applyFont="1"/>
    <xf numFmtId="165" fontId="8" fillId="0" borderId="0" xfId="0" applyNumberFormat="1" applyFont="1"/>
    <xf numFmtId="165" fontId="6" fillId="0" borderId="0" xfId="0" applyNumberFormat="1" applyFont="1" applyAlignment="1">
      <alignment horizontal="center"/>
    </xf>
    <xf numFmtId="165" fontId="2" fillId="0" borderId="10" xfId="0" applyNumberFormat="1" applyFont="1" applyBorder="1"/>
    <xf numFmtId="165" fontId="2" fillId="2" borderId="0" xfId="0" applyNumberFormat="1" applyFont="1" applyFill="1" applyAlignment="1">
      <alignment horizontal="centerContinuous"/>
    </xf>
    <xf numFmtId="165" fontId="0" fillId="0" borderId="0" xfId="0" applyNumberFormat="1" applyAlignment="1">
      <alignment horizontal="center"/>
    </xf>
    <xf numFmtId="165" fontId="0" fillId="4" borderId="0" xfId="0" applyNumberFormat="1" applyFill="1"/>
    <xf numFmtId="165" fontId="4" fillId="2" borderId="2" xfId="0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left"/>
    </xf>
    <xf numFmtId="165" fontId="2" fillId="0" borderId="2" xfId="0" applyNumberFormat="1" applyFont="1" applyBorder="1" applyAlignment="1">
      <alignment horizontal="left"/>
    </xf>
    <xf numFmtId="165" fontId="2" fillId="2" borderId="2" xfId="0" applyNumberFormat="1" applyFont="1" applyFill="1" applyBorder="1"/>
    <xf numFmtId="165" fontId="0" fillId="0" borderId="0" xfId="0" applyNumberFormat="1" applyAlignment="1">
      <alignment horizontal="left"/>
    </xf>
    <xf numFmtId="165" fontId="11" fillId="0" borderId="0" xfId="0" applyNumberFormat="1" applyFont="1"/>
    <xf numFmtId="165" fontId="0" fillId="2" borderId="2" xfId="0" applyNumberFormat="1" applyFill="1" applyBorder="1"/>
    <xf numFmtId="165" fontId="5" fillId="0" borderId="0" xfId="1" applyNumberFormat="1" applyFont="1"/>
    <xf numFmtId="165" fontId="4" fillId="2" borderId="2" xfId="0" applyNumberFormat="1" applyFont="1" applyFill="1" applyBorder="1" applyAlignment="1">
      <alignment horizontal="left" indent="1"/>
    </xf>
    <xf numFmtId="165" fontId="2" fillId="0" borderId="2" xfId="0" applyNumberFormat="1" applyFont="1" applyBorder="1"/>
    <xf numFmtId="165" fontId="11" fillId="0" borderId="10" xfId="0" applyNumberFormat="1" applyFont="1" applyBorder="1"/>
    <xf numFmtId="165" fontId="6" fillId="0" borderId="4" xfId="0" applyNumberFormat="1" applyFont="1" applyBorder="1" applyAlignment="1">
      <alignment horizontal="right"/>
    </xf>
    <xf numFmtId="165" fontId="0" fillId="0" borderId="0" xfId="0" applyNumberFormat="1" applyAlignment="1">
      <alignment horizontal="left" vertical="center"/>
    </xf>
    <xf numFmtId="165" fontId="6" fillId="2" borderId="2" xfId="0" applyNumberFormat="1" applyFont="1" applyFill="1" applyBorder="1" applyAlignment="1">
      <alignment horizontal="centerContinuous"/>
    </xf>
    <xf numFmtId="165" fontId="0" fillId="4" borderId="1" xfId="0" applyNumberFormat="1" applyFill="1" applyBorder="1" applyAlignment="1">
      <alignment horizontal="centerContinuous"/>
    </xf>
    <xf numFmtId="165" fontId="0" fillId="4" borderId="9" xfId="0" applyNumberFormat="1" applyFill="1" applyBorder="1" applyAlignment="1">
      <alignment horizontal="centerContinuous"/>
    </xf>
    <xf numFmtId="165" fontId="0" fillId="0" borderId="0" xfId="0" applyNumberFormat="1" applyAlignment="1">
      <alignment horizontal="centerContinuous"/>
    </xf>
    <xf numFmtId="165" fontId="0" fillId="0" borderId="0" xfId="0" applyNumberFormat="1" applyAlignment="1">
      <alignment horizontal="center" vertical="center"/>
    </xf>
    <xf numFmtId="165" fontId="0" fillId="2" borderId="2" xfId="0" applyNumberFormat="1" applyFill="1" applyBorder="1" applyAlignment="1">
      <alignment horizontal="centerContinuous"/>
    </xf>
    <xf numFmtId="165" fontId="0" fillId="2" borderId="2" xfId="0" applyNumberFormat="1" applyFill="1" applyBorder="1" applyAlignment="1">
      <alignment horizontal="centerContinuous" vertical="center"/>
    </xf>
    <xf numFmtId="0" fontId="2" fillId="4" borderId="0" xfId="0" applyFont="1" applyFill="1" applyAlignment="1">
      <alignment horizontal="left"/>
    </xf>
    <xf numFmtId="0" fontId="2" fillId="4" borderId="1" xfId="0" applyFont="1" applyFill="1" applyBorder="1" applyAlignment="1">
      <alignment horizontal="left"/>
    </xf>
    <xf numFmtId="165" fontId="2" fillId="4" borderId="1" xfId="0" applyNumberFormat="1" applyFont="1" applyFill="1" applyBorder="1" applyAlignment="1">
      <alignment horizontal="centerContinuous"/>
    </xf>
    <xf numFmtId="165" fontId="6" fillId="4" borderId="1" xfId="0" applyNumberFormat="1" applyFont="1" applyFill="1" applyBorder="1" applyAlignment="1">
      <alignment horizontal="centerContinuous"/>
    </xf>
    <xf numFmtId="165" fontId="2" fillId="4" borderId="1" xfId="0" applyNumberFormat="1" applyFont="1" applyFill="1" applyBorder="1" applyAlignment="1">
      <alignment horizontal="left"/>
    </xf>
    <xf numFmtId="165" fontId="4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167" fontId="2" fillId="4" borderId="1" xfId="0" applyNumberFormat="1" applyFont="1" applyFill="1" applyBorder="1" applyAlignment="1">
      <alignment horizontal="left"/>
    </xf>
    <xf numFmtId="168" fontId="2" fillId="4" borderId="1" xfId="0" applyNumberFormat="1" applyFont="1" applyFill="1" applyBorder="1" applyAlignment="1">
      <alignment horizontal="left"/>
    </xf>
    <xf numFmtId="165" fontId="6" fillId="4" borderId="1" xfId="0" applyNumberFormat="1" applyFont="1" applyFill="1" applyBorder="1" applyAlignment="1">
      <alignment horizontal="left"/>
    </xf>
    <xf numFmtId="166" fontId="6" fillId="4" borderId="1" xfId="0" applyNumberFormat="1" applyFont="1" applyFill="1" applyBorder="1" applyAlignment="1">
      <alignment horizontal="left"/>
    </xf>
    <xf numFmtId="200" fontId="4" fillId="4" borderId="1" xfId="0" applyNumberFormat="1" applyFont="1" applyFill="1" applyBorder="1" applyAlignment="1">
      <alignment horizontal="left"/>
    </xf>
    <xf numFmtId="49" fontId="15" fillId="9" borderId="0" xfId="2" applyNumberFormat="1" applyFont="1" applyFill="1" applyAlignment="1">
      <alignment horizontal="center" vertical="center" wrapText="1"/>
    </xf>
    <xf numFmtId="49" fontId="14" fillId="9" borderId="0" xfId="2" applyNumberFormat="1" applyFont="1" applyFill="1" applyAlignment="1">
      <alignment horizontal="center" vertical="center"/>
    </xf>
    <xf numFmtId="49" fontId="13" fillId="9" borderId="21" xfId="2" applyNumberFormat="1" applyFont="1" applyFill="1" applyBorder="1" applyAlignment="1">
      <alignment horizontal="center" vertical="center"/>
    </xf>
    <xf numFmtId="49" fontId="13" fillId="9" borderId="20" xfId="2" applyNumberFormat="1" applyFont="1" applyFill="1" applyBorder="1" applyAlignment="1">
      <alignment horizontal="center" vertical="center"/>
    </xf>
    <xf numFmtId="49" fontId="13" fillId="9" borderId="19" xfId="2" applyNumberFormat="1" applyFont="1" applyFill="1" applyBorder="1" applyAlignment="1">
      <alignment horizontal="center" vertical="center"/>
    </xf>
    <xf numFmtId="49" fontId="13" fillId="9" borderId="18" xfId="2" applyNumberFormat="1" applyFont="1" applyFill="1" applyBorder="1" applyAlignment="1">
      <alignment horizontal="center" vertical="center"/>
    </xf>
    <xf numFmtId="49" fontId="13" fillId="9" borderId="0" xfId="2" applyNumberFormat="1" applyFont="1" applyFill="1" applyAlignment="1">
      <alignment horizontal="center" vertical="center"/>
    </xf>
    <xf numFmtId="49" fontId="13" fillId="9" borderId="15" xfId="2" applyNumberFormat="1" applyFont="1" applyFill="1" applyBorder="1" applyAlignment="1">
      <alignment horizontal="center" vertical="center"/>
    </xf>
    <xf numFmtId="49" fontId="13" fillId="9" borderId="16" xfId="2" applyNumberFormat="1" applyFont="1" applyFill="1" applyBorder="1" applyAlignment="1">
      <alignment horizontal="center" vertical="center"/>
    </xf>
    <xf numFmtId="49" fontId="13" fillId="9" borderId="13" xfId="2" applyNumberFormat="1" applyFont="1" applyFill="1" applyBorder="1" applyAlignment="1">
      <alignment horizontal="center" vertical="center"/>
    </xf>
    <xf numFmtId="49" fontId="13" fillId="9" borderId="12" xfId="2" applyNumberFormat="1" applyFont="1" applyFill="1" applyBorder="1" applyAlignment="1">
      <alignment horizontal="center" vertical="center"/>
    </xf>
    <xf numFmtId="49" fontId="20" fillId="9" borderId="0" xfId="2" applyNumberFormat="1" applyFont="1" applyFill="1" applyAlignment="1" applyProtection="1">
      <alignment horizontal="left" vertical="center"/>
      <protection locked="0"/>
    </xf>
    <xf numFmtId="49" fontId="18" fillId="8" borderId="22" xfId="3" applyNumberFormat="1" applyFont="1" applyFill="1" applyBorder="1" applyAlignment="1" applyProtection="1">
      <alignment horizontal="center" vertical="center"/>
      <protection locked="0"/>
    </xf>
    <xf numFmtId="49" fontId="18" fillId="8" borderId="20" xfId="3" applyNumberFormat="1" applyFont="1" applyFill="1" applyBorder="1" applyAlignment="1" applyProtection="1">
      <alignment horizontal="center" vertical="center"/>
      <protection locked="0"/>
    </xf>
    <xf numFmtId="49" fontId="18" fillId="8" borderId="19" xfId="3" applyNumberFormat="1" applyFont="1" applyFill="1" applyBorder="1" applyAlignment="1" applyProtection="1">
      <alignment horizontal="center" vertical="center"/>
      <protection locked="0"/>
    </xf>
    <xf numFmtId="49" fontId="18" fillId="8" borderId="17" xfId="3" applyNumberFormat="1" applyFont="1" applyFill="1" applyBorder="1" applyAlignment="1" applyProtection="1">
      <alignment horizontal="center" vertical="center"/>
      <protection locked="0"/>
    </xf>
    <xf numFmtId="49" fontId="18" fillId="8" borderId="0" xfId="3" applyNumberFormat="1" applyFont="1" applyFill="1" applyBorder="1" applyAlignment="1" applyProtection="1">
      <alignment horizontal="center" vertical="center"/>
      <protection locked="0"/>
    </xf>
    <xf numFmtId="49" fontId="18" fillId="8" borderId="15" xfId="3" applyNumberFormat="1" applyFont="1" applyFill="1" applyBorder="1" applyAlignment="1" applyProtection="1">
      <alignment horizontal="center" vertical="center"/>
      <protection locked="0"/>
    </xf>
    <xf numFmtId="49" fontId="18" fillId="8" borderId="14" xfId="3" applyNumberFormat="1" applyFont="1" applyFill="1" applyBorder="1" applyAlignment="1" applyProtection="1">
      <alignment horizontal="center" vertical="center"/>
      <protection locked="0"/>
    </xf>
    <xf numFmtId="49" fontId="18" fillId="8" borderId="13" xfId="3" applyNumberFormat="1" applyFont="1" applyFill="1" applyBorder="1" applyAlignment="1" applyProtection="1">
      <alignment horizontal="center" vertical="center"/>
      <protection locked="0"/>
    </xf>
    <xf numFmtId="49" fontId="18" fillId="8" borderId="12" xfId="3" applyNumberFormat="1" applyFont="1" applyFill="1" applyBorder="1" applyAlignment="1" applyProtection="1">
      <alignment horizontal="center" vertical="center"/>
      <protection locked="0"/>
    </xf>
  </cellXfs>
  <cellStyles count="4">
    <cellStyle name="Hyperlink" xfId="3" builtinId="8"/>
    <cellStyle name="Normal" xfId="0" builtinId="0"/>
    <cellStyle name="Normal 2" xfId="2" xr:uid="{768742DA-297F-4786-A148-2419760A19FF}"/>
    <cellStyle name="Percent" xfId="1" builtinId="5"/>
  </cellStyles>
  <dxfs count="66"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</dxf>
    <dxf>
      <font>
        <color rgb="FF9C0006"/>
      </font>
    </dxf>
    <dxf>
      <font>
        <color rgb="FF008000"/>
      </font>
    </dxf>
    <dxf>
      <font>
        <color rgb="FFC00000"/>
      </font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008000"/>
      </font>
    </dxf>
    <dxf>
      <font>
        <color rgb="FF9C0006"/>
      </font>
    </dxf>
    <dxf>
      <font>
        <color rgb="FF0070C0"/>
      </font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008000"/>
      </font>
    </dxf>
    <dxf>
      <font>
        <color rgb="FF9C0006"/>
      </font>
    </dxf>
    <dxf>
      <font>
        <color rgb="FF008000"/>
      </font>
    </dxf>
    <dxf>
      <font>
        <color rgb="FF9C0006"/>
      </font>
    </dxf>
    <dxf>
      <font>
        <color rgb="FF008000"/>
      </font>
    </dxf>
    <dxf>
      <font>
        <color rgb="FF9C0006"/>
      </font>
    </dxf>
    <dxf>
      <font>
        <color rgb="FF0070C0"/>
      </font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</dxf>
    <dxf>
      <font>
        <color rgb="FF008000"/>
      </font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</dxf>
    <dxf>
      <font>
        <color rgb="FF9C0006"/>
      </font>
    </dxf>
    <dxf>
      <font>
        <color rgb="FF008000"/>
      </font>
    </dxf>
    <dxf>
      <font>
        <color rgb="FFC00000"/>
      </font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008000"/>
      </font>
    </dxf>
    <dxf>
      <font>
        <color rgb="FF9C0006"/>
      </font>
    </dxf>
    <dxf>
      <font>
        <color rgb="FF0070C0"/>
      </font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008000"/>
      </font>
    </dxf>
    <dxf>
      <font>
        <color rgb="FF9C0006"/>
      </font>
    </dxf>
    <dxf>
      <font>
        <color rgb="FF008000"/>
      </font>
    </dxf>
    <dxf>
      <font>
        <color rgb="FF9C0006"/>
      </font>
    </dxf>
    <dxf>
      <font>
        <color rgb="FF008000"/>
      </font>
    </dxf>
    <dxf>
      <font>
        <color rgb="FF9C0006"/>
      </font>
    </dxf>
    <dxf>
      <font>
        <color rgb="FF0070C0"/>
      </font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</dxf>
    <dxf>
      <font>
        <color rgb="FF008000"/>
      </font>
    </dxf>
  </dxfs>
  <tableStyles count="0" defaultTableStyle="TableStyleMedium2" defaultPivotStyle="PivotStyleLight16"/>
  <colors>
    <mruColors>
      <color rgb="FFDFE9F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A9AC0BF0-B99F-49EA-8C21-E5E9EC903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dvanced-lbo-modeling-test-4-hour-exampl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5D204-680C-4BC0-9030-F8C3A397786F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15" customHeight="1" x14ac:dyDescent="0.2"/>
  <cols>
    <col min="1" max="2" width="2.7109375" style="215" customWidth="1"/>
    <col min="3" max="11" width="10.7109375" style="215" customWidth="1"/>
    <col min="12" max="13" width="2.7109375" style="215" customWidth="1"/>
    <col min="14" max="21" width="9.42578125" style="215"/>
    <col min="22" max="22" width="2.7109375" style="215" customWidth="1"/>
    <col min="23" max="16384" width="9.42578125" style="215"/>
  </cols>
  <sheetData>
    <row r="2" spans="2:22" ht="13.15" customHeight="1" x14ac:dyDescent="0.2">
      <c r="B2" s="243"/>
      <c r="C2" s="242"/>
      <c r="D2" s="242"/>
      <c r="E2" s="242"/>
      <c r="F2" s="242"/>
      <c r="G2" s="242"/>
      <c r="H2" s="242"/>
      <c r="I2" s="242"/>
      <c r="J2" s="242"/>
      <c r="K2" s="242"/>
      <c r="L2" s="241"/>
      <c r="M2" s="240"/>
      <c r="N2" s="239"/>
      <c r="O2" s="239"/>
      <c r="P2" s="239"/>
      <c r="Q2" s="239"/>
      <c r="R2" s="239"/>
      <c r="S2" s="239"/>
      <c r="T2" s="239"/>
      <c r="U2" s="239"/>
      <c r="V2" s="238"/>
    </row>
    <row r="3" spans="2:22" ht="13.15" customHeight="1" x14ac:dyDescent="0.2">
      <c r="B3" s="225"/>
      <c r="C3" s="230"/>
      <c r="D3" s="237"/>
      <c r="E3" s="230"/>
      <c r="F3" s="230"/>
      <c r="G3" s="230"/>
      <c r="H3" s="230"/>
      <c r="I3" s="230"/>
      <c r="J3" s="230"/>
      <c r="K3" s="230"/>
      <c r="L3" s="224"/>
      <c r="M3" s="236"/>
      <c r="N3" s="429" t="s">
        <v>306</v>
      </c>
      <c r="O3" s="430"/>
      <c r="P3" s="430"/>
      <c r="Q3" s="430"/>
      <c r="R3" s="430"/>
      <c r="S3" s="430"/>
      <c r="T3" s="430"/>
      <c r="U3" s="431"/>
      <c r="V3" s="222"/>
    </row>
    <row r="4" spans="2:22" ht="13.15" customHeight="1" x14ac:dyDescent="0.2">
      <c r="B4" s="225"/>
      <c r="C4" s="230"/>
      <c r="D4" s="230"/>
      <c r="E4" s="230"/>
      <c r="F4" s="230"/>
      <c r="G4" s="230"/>
      <c r="H4" s="230"/>
      <c r="I4" s="230"/>
      <c r="J4" s="230"/>
      <c r="K4" s="230"/>
      <c r="L4" s="224"/>
      <c r="M4" s="236"/>
      <c r="N4" s="432"/>
      <c r="O4" s="433"/>
      <c r="P4" s="433"/>
      <c r="Q4" s="433"/>
      <c r="R4" s="433"/>
      <c r="S4" s="433"/>
      <c r="T4" s="433"/>
      <c r="U4" s="434"/>
      <c r="V4" s="222"/>
    </row>
    <row r="5" spans="2:22" ht="13.15" customHeight="1" x14ac:dyDescent="0.2">
      <c r="B5" s="225"/>
      <c r="C5" s="230"/>
      <c r="D5" s="230"/>
      <c r="E5" s="230"/>
      <c r="F5" s="230"/>
      <c r="G5" s="230"/>
      <c r="H5" s="230"/>
      <c r="I5" s="230"/>
      <c r="J5" s="230"/>
      <c r="K5" s="230"/>
      <c r="L5" s="224"/>
      <c r="M5" s="223"/>
      <c r="N5" s="432"/>
      <c r="O5" s="433"/>
      <c r="P5" s="433"/>
      <c r="Q5" s="433"/>
      <c r="R5" s="433"/>
      <c r="S5" s="433"/>
      <c r="T5" s="433"/>
      <c r="U5" s="434"/>
      <c r="V5" s="222"/>
    </row>
    <row r="6" spans="2:22" ht="13.15" customHeight="1" x14ac:dyDescent="0.2">
      <c r="B6" s="235"/>
      <c r="C6" s="234"/>
      <c r="D6" s="234"/>
      <c r="E6" s="234"/>
      <c r="F6" s="234"/>
      <c r="G6" s="234"/>
      <c r="H6" s="234"/>
      <c r="I6" s="234"/>
      <c r="J6" s="234"/>
      <c r="K6" s="234"/>
      <c r="L6" s="231"/>
      <c r="M6" s="223"/>
      <c r="N6" s="435"/>
      <c r="O6" s="436"/>
      <c r="P6" s="436"/>
      <c r="Q6" s="436"/>
      <c r="R6" s="436"/>
      <c r="S6" s="436"/>
      <c r="T6" s="436"/>
      <c r="U6" s="437"/>
      <c r="V6" s="222"/>
    </row>
    <row r="7" spans="2:22" ht="13.15" customHeight="1" x14ac:dyDescent="0.2">
      <c r="B7" s="233"/>
      <c r="C7" s="438" t="s">
        <v>307</v>
      </c>
      <c r="D7" s="438"/>
      <c r="E7" s="438"/>
      <c r="F7" s="438"/>
      <c r="G7" s="438"/>
      <c r="H7" s="438"/>
      <c r="I7" s="438"/>
      <c r="J7" s="438"/>
      <c r="K7" s="438"/>
      <c r="L7" s="231"/>
      <c r="M7" s="223"/>
      <c r="N7" s="226"/>
      <c r="O7" s="226"/>
      <c r="P7" s="226"/>
      <c r="Q7" s="226"/>
      <c r="R7" s="226"/>
      <c r="S7" s="226"/>
      <c r="T7" s="226"/>
      <c r="U7" s="226"/>
      <c r="V7" s="222"/>
    </row>
    <row r="8" spans="2:22" ht="13.15" customHeight="1" thickBot="1" x14ac:dyDescent="0.25">
      <c r="B8" s="233"/>
      <c r="C8" s="438"/>
      <c r="D8" s="438"/>
      <c r="E8" s="438"/>
      <c r="F8" s="438"/>
      <c r="G8" s="438"/>
      <c r="H8" s="438"/>
      <c r="I8" s="438"/>
      <c r="J8" s="438"/>
      <c r="K8" s="438"/>
      <c r="L8" s="231"/>
      <c r="M8" s="223"/>
      <c r="N8" s="429" t="s">
        <v>305</v>
      </c>
      <c r="O8" s="430"/>
      <c r="P8" s="430"/>
      <c r="Q8" s="430"/>
      <c r="R8" s="430"/>
      <c r="S8" s="430"/>
      <c r="T8" s="430"/>
      <c r="U8" s="431"/>
      <c r="V8" s="222"/>
    </row>
    <row r="9" spans="2:22" ht="13.15" customHeight="1" x14ac:dyDescent="0.2">
      <c r="B9" s="233"/>
      <c r="C9" s="232"/>
      <c r="D9" s="232"/>
      <c r="E9" s="232"/>
      <c r="F9" s="232"/>
      <c r="G9" s="232"/>
      <c r="H9" s="232"/>
      <c r="I9" s="232"/>
      <c r="J9" s="232"/>
      <c r="K9" s="232"/>
      <c r="L9" s="231"/>
      <c r="M9" s="223"/>
      <c r="N9" s="432"/>
      <c r="O9" s="433"/>
      <c r="P9" s="433"/>
      <c r="Q9" s="433"/>
      <c r="R9" s="433"/>
      <c r="S9" s="433"/>
      <c r="T9" s="433"/>
      <c r="U9" s="434"/>
      <c r="V9" s="222"/>
    </row>
    <row r="10" spans="2:22" ht="13.15" customHeight="1" x14ac:dyDescent="0.2">
      <c r="B10" s="225"/>
      <c r="C10" s="230"/>
      <c r="D10" s="230"/>
      <c r="E10" s="230"/>
      <c r="F10" s="230"/>
      <c r="G10" s="230"/>
      <c r="H10" s="230"/>
      <c r="I10" s="230"/>
      <c r="J10" s="230"/>
      <c r="K10" s="230"/>
      <c r="L10" s="224"/>
      <c r="M10" s="223"/>
      <c r="N10" s="432"/>
      <c r="O10" s="433"/>
      <c r="P10" s="433"/>
      <c r="Q10" s="433"/>
      <c r="R10" s="433"/>
      <c r="S10" s="433"/>
      <c r="T10" s="433"/>
      <c r="U10" s="434"/>
      <c r="V10" s="222"/>
    </row>
    <row r="11" spans="2:22" ht="13.15" customHeight="1" x14ac:dyDescent="0.2">
      <c r="B11" s="225"/>
      <c r="C11" s="439" t="s">
        <v>308</v>
      </c>
      <c r="D11" s="440"/>
      <c r="E11" s="440"/>
      <c r="F11" s="440"/>
      <c r="G11" s="440"/>
      <c r="H11" s="440"/>
      <c r="I11" s="440"/>
      <c r="J11" s="440"/>
      <c r="K11" s="441"/>
      <c r="L11" s="224"/>
      <c r="M11" s="223"/>
      <c r="N11" s="435"/>
      <c r="O11" s="436"/>
      <c r="P11" s="436"/>
      <c r="Q11" s="436"/>
      <c r="R11" s="436"/>
      <c r="S11" s="436"/>
      <c r="T11" s="436"/>
      <c r="U11" s="437"/>
      <c r="V11" s="222"/>
    </row>
    <row r="12" spans="2:22" ht="13.15" customHeight="1" x14ac:dyDescent="0.2">
      <c r="B12" s="225"/>
      <c r="C12" s="442"/>
      <c r="D12" s="443"/>
      <c r="E12" s="443"/>
      <c r="F12" s="443"/>
      <c r="G12" s="443"/>
      <c r="H12" s="443"/>
      <c r="I12" s="443"/>
      <c r="J12" s="443"/>
      <c r="K12" s="444"/>
      <c r="L12" s="224"/>
      <c r="M12" s="223"/>
      <c r="N12" s="226"/>
      <c r="O12" s="226"/>
      <c r="P12" s="226"/>
      <c r="Q12" s="226"/>
      <c r="R12" s="226"/>
      <c r="S12" s="226"/>
      <c r="T12" s="229"/>
      <c r="U12" s="229"/>
      <c r="V12" s="222"/>
    </row>
    <row r="13" spans="2:22" ht="13.15" customHeight="1" x14ac:dyDescent="0.2">
      <c r="B13" s="225"/>
      <c r="C13" s="442"/>
      <c r="D13" s="443"/>
      <c r="E13" s="443"/>
      <c r="F13" s="443"/>
      <c r="G13" s="443"/>
      <c r="H13" s="443"/>
      <c r="I13" s="443"/>
      <c r="J13" s="443"/>
      <c r="K13" s="444"/>
      <c r="L13" s="224"/>
      <c r="M13" s="223"/>
      <c r="N13" s="429" t="s">
        <v>304</v>
      </c>
      <c r="O13" s="430"/>
      <c r="P13" s="430"/>
      <c r="Q13" s="430"/>
      <c r="R13" s="430"/>
      <c r="S13" s="430"/>
      <c r="T13" s="430"/>
      <c r="U13" s="431"/>
      <c r="V13" s="222"/>
    </row>
    <row r="14" spans="2:22" ht="13.15" customHeight="1" x14ac:dyDescent="0.2">
      <c r="B14" s="225"/>
      <c r="C14" s="442"/>
      <c r="D14" s="443"/>
      <c r="E14" s="443"/>
      <c r="F14" s="443"/>
      <c r="G14" s="443"/>
      <c r="H14" s="443"/>
      <c r="I14" s="443"/>
      <c r="J14" s="443"/>
      <c r="K14" s="444"/>
      <c r="L14" s="228"/>
      <c r="M14" s="223"/>
      <c r="N14" s="432"/>
      <c r="O14" s="433"/>
      <c r="P14" s="433"/>
      <c r="Q14" s="433"/>
      <c r="R14" s="433"/>
      <c r="S14" s="433"/>
      <c r="T14" s="433"/>
      <c r="U14" s="434"/>
      <c r="V14" s="222"/>
    </row>
    <row r="15" spans="2:22" ht="13.15" customHeight="1" x14ac:dyDescent="0.2">
      <c r="B15" s="225"/>
      <c r="C15" s="442"/>
      <c r="D15" s="443"/>
      <c r="E15" s="443"/>
      <c r="F15" s="443"/>
      <c r="G15" s="443"/>
      <c r="H15" s="443"/>
      <c r="I15" s="443"/>
      <c r="J15" s="443"/>
      <c r="K15" s="444"/>
      <c r="L15" s="224"/>
      <c r="M15" s="223"/>
      <c r="N15" s="432"/>
      <c r="O15" s="433"/>
      <c r="P15" s="433"/>
      <c r="Q15" s="433"/>
      <c r="R15" s="433"/>
      <c r="S15" s="433"/>
      <c r="T15" s="433"/>
      <c r="U15" s="434"/>
      <c r="V15" s="222"/>
    </row>
    <row r="16" spans="2:22" ht="13.15" customHeight="1" x14ac:dyDescent="0.2">
      <c r="B16" s="225"/>
      <c r="C16" s="445"/>
      <c r="D16" s="446"/>
      <c r="E16" s="446"/>
      <c r="F16" s="446"/>
      <c r="G16" s="446"/>
      <c r="H16" s="446"/>
      <c r="I16" s="446"/>
      <c r="J16" s="446"/>
      <c r="K16" s="447"/>
      <c r="L16" s="224"/>
      <c r="M16" s="223"/>
      <c r="N16" s="435"/>
      <c r="O16" s="436"/>
      <c r="P16" s="436"/>
      <c r="Q16" s="436"/>
      <c r="R16" s="436"/>
      <c r="S16" s="436"/>
      <c r="T16" s="436"/>
      <c r="U16" s="437"/>
      <c r="V16" s="222"/>
    </row>
    <row r="17" spans="2:22" ht="13.15" customHeight="1" x14ac:dyDescent="0.2">
      <c r="B17" s="225"/>
      <c r="C17" s="227"/>
      <c r="D17" s="227"/>
      <c r="E17" s="227"/>
      <c r="F17" s="227"/>
      <c r="G17" s="227"/>
      <c r="H17" s="227"/>
      <c r="I17" s="227"/>
      <c r="J17" s="227"/>
      <c r="K17" s="227"/>
      <c r="L17" s="224"/>
      <c r="M17" s="223"/>
      <c r="N17" s="226"/>
      <c r="O17" s="226"/>
      <c r="P17" s="226"/>
      <c r="Q17" s="226"/>
      <c r="R17" s="226"/>
      <c r="S17" s="226"/>
      <c r="T17" s="226"/>
      <c r="U17" s="226"/>
      <c r="V17" s="222"/>
    </row>
    <row r="18" spans="2:22" ht="13.15" customHeight="1" x14ac:dyDescent="0.2">
      <c r="B18" s="225"/>
      <c r="C18" s="427" t="s">
        <v>303</v>
      </c>
      <c r="D18" s="427"/>
      <c r="E18" s="427"/>
      <c r="F18" s="427"/>
      <c r="G18" s="427"/>
      <c r="H18" s="427"/>
      <c r="I18" s="427"/>
      <c r="J18" s="427"/>
      <c r="K18" s="427"/>
      <c r="L18" s="224"/>
      <c r="M18" s="223"/>
      <c r="N18" s="429" t="s">
        <v>302</v>
      </c>
      <c r="O18" s="430"/>
      <c r="P18" s="430"/>
      <c r="Q18" s="430"/>
      <c r="R18" s="430"/>
      <c r="S18" s="430"/>
      <c r="T18" s="430"/>
      <c r="U18" s="431"/>
      <c r="V18" s="222"/>
    </row>
    <row r="19" spans="2:22" ht="13.15" customHeight="1" x14ac:dyDescent="0.2">
      <c r="B19" s="225"/>
      <c r="C19" s="427"/>
      <c r="D19" s="427"/>
      <c r="E19" s="427"/>
      <c r="F19" s="427"/>
      <c r="G19" s="427"/>
      <c r="H19" s="427"/>
      <c r="I19" s="427"/>
      <c r="J19" s="427"/>
      <c r="K19" s="427"/>
      <c r="L19" s="224"/>
      <c r="M19" s="223"/>
      <c r="N19" s="432"/>
      <c r="O19" s="433"/>
      <c r="P19" s="433"/>
      <c r="Q19" s="433"/>
      <c r="R19" s="433"/>
      <c r="S19" s="433"/>
      <c r="T19" s="433"/>
      <c r="U19" s="434"/>
      <c r="V19" s="222"/>
    </row>
    <row r="20" spans="2:22" ht="13.15" customHeight="1" x14ac:dyDescent="0.2">
      <c r="B20" s="225"/>
      <c r="C20" s="427"/>
      <c r="D20" s="427"/>
      <c r="E20" s="427"/>
      <c r="F20" s="427"/>
      <c r="G20" s="427"/>
      <c r="H20" s="427"/>
      <c r="I20" s="427"/>
      <c r="J20" s="427"/>
      <c r="K20" s="427"/>
      <c r="L20" s="224"/>
      <c r="M20" s="223"/>
      <c r="N20" s="432"/>
      <c r="O20" s="433"/>
      <c r="P20" s="433"/>
      <c r="Q20" s="433"/>
      <c r="R20" s="433"/>
      <c r="S20" s="433"/>
      <c r="T20" s="433"/>
      <c r="U20" s="434"/>
      <c r="V20" s="222"/>
    </row>
    <row r="21" spans="2:22" ht="13.15" customHeight="1" x14ac:dyDescent="0.2">
      <c r="B21" s="225"/>
      <c r="C21" s="427"/>
      <c r="D21" s="427"/>
      <c r="E21" s="427"/>
      <c r="F21" s="427"/>
      <c r="G21" s="427"/>
      <c r="H21" s="427"/>
      <c r="I21" s="427"/>
      <c r="J21" s="427"/>
      <c r="K21" s="427"/>
      <c r="L21" s="224"/>
      <c r="M21" s="223"/>
      <c r="N21" s="435"/>
      <c r="O21" s="436"/>
      <c r="P21" s="436"/>
      <c r="Q21" s="436"/>
      <c r="R21" s="436"/>
      <c r="S21" s="436"/>
      <c r="T21" s="436"/>
      <c r="U21" s="437"/>
      <c r="V21" s="222"/>
    </row>
    <row r="22" spans="2:22" ht="13.15" customHeight="1" x14ac:dyDescent="0.2">
      <c r="B22" s="225"/>
      <c r="C22" s="427"/>
      <c r="D22" s="427"/>
      <c r="E22" s="427"/>
      <c r="F22" s="427"/>
      <c r="G22" s="427"/>
      <c r="H22" s="427"/>
      <c r="I22" s="427"/>
      <c r="J22" s="427"/>
      <c r="K22" s="427"/>
      <c r="L22" s="224"/>
      <c r="M22" s="223"/>
      <c r="N22" s="226"/>
      <c r="O22" s="226"/>
      <c r="P22" s="226"/>
      <c r="Q22" s="226"/>
      <c r="R22" s="226"/>
      <c r="S22" s="226"/>
      <c r="T22" s="226"/>
      <c r="U22" s="226"/>
      <c r="V22" s="222"/>
    </row>
    <row r="23" spans="2:22" ht="13.15" customHeight="1" x14ac:dyDescent="0.2">
      <c r="B23" s="225"/>
      <c r="C23" s="427"/>
      <c r="D23" s="427"/>
      <c r="E23" s="427"/>
      <c r="F23" s="427"/>
      <c r="G23" s="427"/>
      <c r="H23" s="427"/>
      <c r="I23" s="427"/>
      <c r="J23" s="427"/>
      <c r="K23" s="427"/>
      <c r="L23" s="224"/>
      <c r="M23" s="223"/>
      <c r="N23" s="429" t="s">
        <v>301</v>
      </c>
      <c r="O23" s="430"/>
      <c r="P23" s="430"/>
      <c r="Q23" s="430"/>
      <c r="R23" s="430"/>
      <c r="S23" s="430"/>
      <c r="T23" s="430"/>
      <c r="U23" s="431"/>
      <c r="V23" s="222"/>
    </row>
    <row r="24" spans="2:22" ht="13.15" customHeight="1" x14ac:dyDescent="0.2">
      <c r="B24" s="225"/>
      <c r="C24" s="428" t="s">
        <v>300</v>
      </c>
      <c r="D24" s="428"/>
      <c r="E24" s="428"/>
      <c r="F24" s="428"/>
      <c r="G24" s="428"/>
      <c r="H24" s="428"/>
      <c r="I24" s="428"/>
      <c r="J24" s="428"/>
      <c r="K24" s="428"/>
      <c r="L24" s="224"/>
      <c r="M24" s="223"/>
      <c r="N24" s="432"/>
      <c r="O24" s="433"/>
      <c r="P24" s="433"/>
      <c r="Q24" s="433"/>
      <c r="R24" s="433"/>
      <c r="S24" s="433"/>
      <c r="T24" s="433"/>
      <c r="U24" s="434"/>
      <c r="V24" s="222"/>
    </row>
    <row r="25" spans="2:22" ht="13.15" customHeight="1" x14ac:dyDescent="0.2">
      <c r="B25" s="225"/>
      <c r="C25" s="428"/>
      <c r="D25" s="428"/>
      <c r="E25" s="428"/>
      <c r="F25" s="428"/>
      <c r="G25" s="428"/>
      <c r="H25" s="428"/>
      <c r="I25" s="428"/>
      <c r="J25" s="428"/>
      <c r="K25" s="428"/>
      <c r="L25" s="224"/>
      <c r="M25" s="223"/>
      <c r="N25" s="432"/>
      <c r="O25" s="433"/>
      <c r="P25" s="433"/>
      <c r="Q25" s="433"/>
      <c r="R25" s="433"/>
      <c r="S25" s="433"/>
      <c r="T25" s="433"/>
      <c r="U25" s="434"/>
      <c r="V25" s="222"/>
    </row>
    <row r="26" spans="2:22" ht="13.15" customHeight="1" x14ac:dyDescent="0.2">
      <c r="B26" s="225"/>
      <c r="C26" s="428"/>
      <c r="D26" s="428"/>
      <c r="E26" s="428"/>
      <c r="F26" s="428"/>
      <c r="G26" s="428"/>
      <c r="H26" s="428"/>
      <c r="I26" s="428"/>
      <c r="J26" s="428"/>
      <c r="K26" s="428"/>
      <c r="L26" s="224"/>
      <c r="M26" s="223"/>
      <c r="N26" s="435"/>
      <c r="O26" s="436"/>
      <c r="P26" s="436"/>
      <c r="Q26" s="436"/>
      <c r="R26" s="436"/>
      <c r="S26" s="436"/>
      <c r="T26" s="436"/>
      <c r="U26" s="437"/>
      <c r="V26" s="222"/>
    </row>
    <row r="27" spans="2:22" ht="13.15" customHeight="1" x14ac:dyDescent="0.2">
      <c r="B27" s="221"/>
      <c r="C27" s="220"/>
      <c r="D27" s="220"/>
      <c r="E27" s="220"/>
      <c r="F27" s="220"/>
      <c r="G27" s="220"/>
      <c r="H27" s="220"/>
      <c r="I27" s="220"/>
      <c r="J27" s="220"/>
      <c r="K27" s="220"/>
      <c r="L27" s="219"/>
      <c r="M27" s="218"/>
      <c r="N27" s="217"/>
      <c r="O27" s="217"/>
      <c r="P27" s="217"/>
      <c r="Q27" s="217"/>
      <c r="R27" s="217"/>
      <c r="S27" s="217"/>
      <c r="T27" s="217"/>
      <c r="U27" s="217"/>
      <c r="V27" s="216"/>
    </row>
  </sheetData>
  <sheetProtection algorithmName="SHA-512" hashValue="bjL/I/k1PituBGx+itX4LTkAf1l2Atqsa4QMryeWWsBbK2TLtWghfRPIJPVrERCVzk52HCwf+IHwb52kmHZXNw==" saltValue="mG+Z7lpHJLhzbi7xvVjY6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33BFEADC-A3D6-476A-B5B9-D1068458B600}"/>
    <hyperlink ref="T8:T11" r:id="rId2" display="Instructor-Led Boot Camps" xr:uid="{145CEDDC-B54A-49C3-989A-A748F5B6E131}"/>
    <hyperlink ref="T13:T16" r:id="rId3" display="1:1 Private Lessons" xr:uid="{CA7FC3F9-EF8E-4DEF-9DC5-B5A9E9C264D0}"/>
    <hyperlink ref="T18:T21" r:id="rId4" display="Free Guides and Lessons" xr:uid="{6D0EA6EA-0FCE-46E8-B5D5-A111409CD153}"/>
    <hyperlink ref="T23:T26" r:id="rId5" display="Free Guides and Lessons" xr:uid="{1EBD8719-7399-40E8-A7C1-DC9661C20E98}"/>
    <hyperlink ref="N23:T26" r:id="rId6" display="Template Library" xr:uid="{8BF084D6-B28A-4605-9316-95BF13F79DFF}"/>
    <hyperlink ref="C11:K16" r:id="rId7" display="Further Reading → Advanced LBO Modeling Test" xr:uid="{05D9D22C-BC42-4713-8BE0-4A8CC8B6C346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6C469-ED7B-4B5E-8F43-4F337C0C0AF6}">
  <sheetPr>
    <tabColor theme="5" tint="0.79998168889431442"/>
  </sheetPr>
  <dimension ref="A2:J107"/>
  <sheetViews>
    <sheetView showGridLines="0" zoomScaleNormal="100" workbookViewId="0"/>
  </sheetViews>
  <sheetFormatPr defaultColWidth="8.85546875" defaultRowHeight="12.75" x14ac:dyDescent="0.2"/>
  <cols>
    <col min="1" max="1" width="1.7109375" bestFit="1" customWidth="1"/>
    <col min="2" max="2" width="20.7109375" customWidth="1"/>
    <col min="3" max="12" width="10.7109375" customWidth="1"/>
  </cols>
  <sheetData>
    <row r="2" spans="1:10" x14ac:dyDescent="0.2">
      <c r="B2" s="358" t="s">
        <v>313</v>
      </c>
      <c r="C2" s="368"/>
      <c r="D2" s="368"/>
      <c r="E2" s="368"/>
      <c r="F2" s="368"/>
      <c r="G2" s="368"/>
      <c r="H2" s="368"/>
      <c r="I2" s="368"/>
      <c r="J2" s="368"/>
    </row>
    <row r="3" spans="1:10" x14ac:dyDescent="0.2">
      <c r="B3" s="248" t="s">
        <v>0</v>
      </c>
      <c r="C3" s="248"/>
      <c r="D3" s="248"/>
      <c r="E3" s="248"/>
      <c r="F3" s="248"/>
      <c r="G3" s="248"/>
      <c r="H3" s="248"/>
      <c r="I3" s="248"/>
      <c r="J3" s="248"/>
    </row>
    <row r="5" spans="1:10" x14ac:dyDescent="0.2">
      <c r="B5" s="8"/>
    </row>
    <row r="6" spans="1:10" x14ac:dyDescent="0.2">
      <c r="A6" t="s">
        <v>310</v>
      </c>
      <c r="B6" s="3" t="s">
        <v>293</v>
      </c>
      <c r="C6" s="3"/>
      <c r="D6" s="3"/>
      <c r="E6" s="53">
        <v>2020</v>
      </c>
      <c r="G6" s="3" t="s">
        <v>298</v>
      </c>
      <c r="H6" s="3"/>
      <c r="I6" s="3"/>
      <c r="J6" s="53">
        <v>2020</v>
      </c>
    </row>
    <row r="7" spans="1:10" x14ac:dyDescent="0.2">
      <c r="E7" s="244"/>
    </row>
    <row r="8" spans="1:10" x14ac:dyDescent="0.2">
      <c r="B8" t="s">
        <v>91</v>
      </c>
      <c r="E8" s="60">
        <v>200</v>
      </c>
      <c r="G8" t="s">
        <v>144</v>
      </c>
      <c r="J8" s="60">
        <v>1500</v>
      </c>
    </row>
    <row r="9" spans="1:10" x14ac:dyDescent="0.2">
      <c r="B9" t="s">
        <v>92</v>
      </c>
      <c r="E9" s="33">
        <v>300</v>
      </c>
      <c r="G9" s="245" t="s">
        <v>115</v>
      </c>
      <c r="H9" s="245"/>
      <c r="I9" s="245"/>
      <c r="J9" s="37">
        <v>-975</v>
      </c>
    </row>
    <row r="10" spans="1:10" x14ac:dyDescent="0.2">
      <c r="B10" t="s">
        <v>93</v>
      </c>
      <c r="E10" s="33">
        <v>425</v>
      </c>
      <c r="G10" s="8" t="s">
        <v>116</v>
      </c>
      <c r="H10" s="8"/>
      <c r="I10" s="8"/>
      <c r="J10" s="11">
        <f>+SUM(J8:J9)</f>
        <v>525</v>
      </c>
    </row>
    <row r="11" spans="1:10" x14ac:dyDescent="0.2">
      <c r="B11" s="245" t="s">
        <v>94</v>
      </c>
      <c r="C11" s="245"/>
      <c r="D11" s="245"/>
      <c r="E11" s="37">
        <v>50</v>
      </c>
      <c r="G11" t="s">
        <v>118</v>
      </c>
      <c r="J11" s="33">
        <v>-150</v>
      </c>
    </row>
    <row r="12" spans="1:10" x14ac:dyDescent="0.2">
      <c r="B12" s="8" t="s">
        <v>95</v>
      </c>
      <c r="E12" s="11">
        <f>+SUM(E8:E11)</f>
        <v>975</v>
      </c>
      <c r="G12" s="245" t="s">
        <v>119</v>
      </c>
      <c r="H12" s="245"/>
      <c r="I12" s="245"/>
      <c r="J12" s="37">
        <v>-30</v>
      </c>
    </row>
    <row r="13" spans="1:10" x14ac:dyDescent="0.2">
      <c r="B13" s="8"/>
      <c r="E13" s="9"/>
      <c r="G13" s="75" t="s">
        <v>120</v>
      </c>
      <c r="H13" s="75"/>
      <c r="I13" s="75"/>
      <c r="J13" s="76">
        <f>+J10+SUM(J11:J12)</f>
        <v>345</v>
      </c>
    </row>
    <row r="14" spans="1:10" x14ac:dyDescent="0.2">
      <c r="B14" t="s">
        <v>96</v>
      </c>
      <c r="E14" s="60">
        <v>1000</v>
      </c>
      <c r="G14" s="245" t="s">
        <v>158</v>
      </c>
      <c r="H14" s="245"/>
      <c r="I14" s="245"/>
      <c r="J14" s="37">
        <v>-30</v>
      </c>
    </row>
    <row r="15" spans="1:10" x14ac:dyDescent="0.2">
      <c r="B15" t="s">
        <v>97</v>
      </c>
      <c r="E15" s="33">
        <v>200</v>
      </c>
      <c r="G15" s="8" t="s">
        <v>162</v>
      </c>
      <c r="H15" s="8"/>
      <c r="I15" s="8"/>
      <c r="J15" s="11">
        <f>+SUM(J13:J14)</f>
        <v>315</v>
      </c>
    </row>
    <row r="16" spans="1:10" x14ac:dyDescent="0.2">
      <c r="B16" s="245" t="s">
        <v>98</v>
      </c>
      <c r="C16" s="245"/>
      <c r="D16" s="245"/>
      <c r="E16" s="37">
        <v>0</v>
      </c>
      <c r="G16" s="245" t="s">
        <v>164</v>
      </c>
      <c r="H16" s="245"/>
      <c r="I16" s="245"/>
      <c r="J16" s="37">
        <v>-15</v>
      </c>
    </row>
    <row r="17" spans="1:10" x14ac:dyDescent="0.2">
      <c r="B17" s="8" t="s">
        <v>99</v>
      </c>
      <c r="E17" s="11">
        <f>+SUM(E12,E14:E16)</f>
        <v>2175</v>
      </c>
      <c r="G17" s="8" t="s">
        <v>166</v>
      </c>
      <c r="H17" s="8"/>
      <c r="I17" s="8"/>
      <c r="J17" s="11">
        <f>+SUM(J15:J16)</f>
        <v>300</v>
      </c>
    </row>
    <row r="18" spans="1:10" x14ac:dyDescent="0.2">
      <c r="E18" s="246"/>
      <c r="G18" s="245" t="s">
        <v>167</v>
      </c>
      <c r="H18" s="245"/>
      <c r="I18" s="245"/>
      <c r="J18" s="37">
        <v>-75</v>
      </c>
    </row>
    <row r="19" spans="1:10" x14ac:dyDescent="0.2">
      <c r="B19" t="s">
        <v>41</v>
      </c>
      <c r="E19" s="60">
        <v>0</v>
      </c>
      <c r="G19" s="75" t="s">
        <v>168</v>
      </c>
      <c r="H19" s="75"/>
      <c r="I19" s="75"/>
      <c r="J19" s="76">
        <f>+SUM(J17:J18)</f>
        <v>225</v>
      </c>
    </row>
    <row r="20" spans="1:10" x14ac:dyDescent="0.2">
      <c r="B20" t="s">
        <v>100</v>
      </c>
      <c r="E20" s="33">
        <v>350</v>
      </c>
    </row>
    <row r="21" spans="1:10" x14ac:dyDescent="0.2">
      <c r="B21" t="s">
        <v>101</v>
      </c>
      <c r="E21" s="33">
        <v>200</v>
      </c>
    </row>
    <row r="22" spans="1:10" x14ac:dyDescent="0.2">
      <c r="B22" s="245" t="s">
        <v>102</v>
      </c>
      <c r="C22" s="245"/>
      <c r="D22" s="245"/>
      <c r="E22" s="37">
        <v>75</v>
      </c>
    </row>
    <row r="23" spans="1:10" x14ac:dyDescent="0.2">
      <c r="B23" s="8" t="s">
        <v>103</v>
      </c>
      <c r="E23" s="11">
        <f>+SUM(E19:E22)</f>
        <v>625</v>
      </c>
    </row>
    <row r="24" spans="1:10" x14ac:dyDescent="0.2">
      <c r="B24" s="8"/>
      <c r="E24" s="9"/>
    </row>
    <row r="25" spans="1:10" x14ac:dyDescent="0.2">
      <c r="B25" s="245" t="s">
        <v>104</v>
      </c>
      <c r="C25" s="245"/>
      <c r="D25" s="245"/>
      <c r="E25" s="177">
        <v>450</v>
      </c>
    </row>
    <row r="26" spans="1:10" x14ac:dyDescent="0.2">
      <c r="B26" s="8" t="s">
        <v>107</v>
      </c>
      <c r="E26" s="11">
        <f>+SUM(E23,E25:E25)</f>
        <v>1075</v>
      </c>
    </row>
    <row r="27" spans="1:10" x14ac:dyDescent="0.2">
      <c r="B27" s="8"/>
      <c r="E27" s="9"/>
    </row>
    <row r="28" spans="1:10" x14ac:dyDescent="0.2">
      <c r="B28" s="245" t="s">
        <v>108</v>
      </c>
      <c r="C28" s="245"/>
      <c r="D28" s="245"/>
      <c r="E28" s="177">
        <v>1100</v>
      </c>
    </row>
    <row r="29" spans="1:10" x14ac:dyDescent="0.2">
      <c r="B29" s="8" t="s">
        <v>109</v>
      </c>
      <c r="E29" s="11">
        <f>+SUM(E26,E28)</f>
        <v>2175</v>
      </c>
    </row>
    <row r="30" spans="1:10" x14ac:dyDescent="0.2">
      <c r="B30" s="8"/>
      <c r="F30" s="11"/>
    </row>
    <row r="31" spans="1:10" x14ac:dyDescent="0.2">
      <c r="A31" t="s">
        <v>310</v>
      </c>
      <c r="B31" s="3" t="s">
        <v>297</v>
      </c>
      <c r="C31" s="3"/>
      <c r="D31" s="3"/>
      <c r="E31" s="3"/>
      <c r="F31" s="65">
        <v>2021</v>
      </c>
      <c r="G31" s="65">
        <f>+F31+1</f>
        <v>2022</v>
      </c>
      <c r="H31" s="65">
        <f>+G31+1</f>
        <v>2023</v>
      </c>
      <c r="I31" s="65">
        <f>+H31+1</f>
        <v>2024</v>
      </c>
      <c r="J31" s="65">
        <f>+I31+1</f>
        <v>2025</v>
      </c>
    </row>
    <row r="32" spans="1:10" x14ac:dyDescent="0.2">
      <c r="B32" s="8"/>
    </row>
    <row r="33" spans="2:10" x14ac:dyDescent="0.2">
      <c r="B33" s="247" t="s">
        <v>189</v>
      </c>
      <c r="C33" s="248"/>
      <c r="D33" s="248"/>
      <c r="E33" s="249"/>
      <c r="F33" s="249"/>
      <c r="G33" s="249"/>
      <c r="H33" s="249"/>
      <c r="I33" s="249"/>
      <c r="J33" s="250"/>
    </row>
    <row r="34" spans="2:10" x14ac:dyDescent="0.2">
      <c r="B34" s="251" t="s">
        <v>132</v>
      </c>
      <c r="C34" s="251"/>
      <c r="E34" s="73"/>
      <c r="F34" s="31">
        <v>0.1</v>
      </c>
      <c r="G34" s="31">
        <v>0.1</v>
      </c>
      <c r="H34" s="31">
        <v>0.1</v>
      </c>
      <c r="I34" s="31">
        <v>0.1</v>
      </c>
      <c r="J34" s="31">
        <v>0.1</v>
      </c>
    </row>
    <row r="35" spans="2:10" x14ac:dyDescent="0.2">
      <c r="B35" s="251" t="s">
        <v>133</v>
      </c>
      <c r="C35" s="251"/>
      <c r="E35" s="73"/>
      <c r="F35" s="31">
        <v>0.15</v>
      </c>
      <c r="G35" s="31">
        <v>0.15</v>
      </c>
      <c r="H35" s="31">
        <v>0.15</v>
      </c>
      <c r="I35" s="31">
        <v>0.15</v>
      </c>
      <c r="J35" s="31">
        <v>0.15</v>
      </c>
    </row>
    <row r="36" spans="2:10" x14ac:dyDescent="0.2">
      <c r="B36" s="251" t="s">
        <v>134</v>
      </c>
      <c r="C36" s="251"/>
      <c r="E36" s="73"/>
      <c r="F36" s="31">
        <v>2.5000000000000001E-2</v>
      </c>
      <c r="G36" s="31">
        <v>2.5000000000000001E-2</v>
      </c>
      <c r="H36" s="31">
        <v>2.5000000000000001E-2</v>
      </c>
      <c r="I36" s="31">
        <v>2.5000000000000001E-2</v>
      </c>
      <c r="J36" s="31">
        <v>2.5000000000000001E-2</v>
      </c>
    </row>
    <row r="37" spans="2:10" x14ac:dyDescent="0.2">
      <c r="E37" s="73"/>
      <c r="F37" s="31"/>
      <c r="G37" s="31"/>
      <c r="H37" s="31"/>
      <c r="I37" s="31"/>
      <c r="J37" s="31"/>
    </row>
    <row r="38" spans="2:10" x14ac:dyDescent="0.2">
      <c r="B38" s="247" t="s">
        <v>117</v>
      </c>
      <c r="C38" s="248"/>
      <c r="D38" s="248"/>
      <c r="E38" s="252"/>
      <c r="F38" s="249"/>
      <c r="G38" s="249"/>
      <c r="H38" s="249"/>
      <c r="I38" s="249"/>
      <c r="J38" s="250"/>
    </row>
    <row r="39" spans="2:10" x14ac:dyDescent="0.2">
      <c r="B39" s="251" t="s">
        <v>132</v>
      </c>
      <c r="C39" s="251"/>
      <c r="E39" s="73"/>
      <c r="F39" s="31">
        <v>0.35</v>
      </c>
      <c r="G39" s="31">
        <v>0.35</v>
      </c>
      <c r="H39" s="31">
        <v>0.35</v>
      </c>
      <c r="I39" s="31">
        <v>0.35</v>
      </c>
      <c r="J39" s="31">
        <v>0.35</v>
      </c>
    </row>
    <row r="40" spans="2:10" x14ac:dyDescent="0.2">
      <c r="B40" s="251" t="s">
        <v>133</v>
      </c>
      <c r="C40" s="251"/>
      <c r="E40" s="73"/>
      <c r="F40" s="31">
        <v>0.4</v>
      </c>
      <c r="G40" s="31">
        <v>0.4</v>
      </c>
      <c r="H40" s="31">
        <v>0.4</v>
      </c>
      <c r="I40" s="31">
        <v>0.4</v>
      </c>
      <c r="J40" s="31">
        <v>0.4</v>
      </c>
    </row>
    <row r="41" spans="2:10" x14ac:dyDescent="0.2">
      <c r="B41" s="251" t="s">
        <v>134</v>
      </c>
      <c r="C41" s="251"/>
      <c r="E41" s="73"/>
      <c r="F41" s="31">
        <v>0.3</v>
      </c>
      <c r="G41" s="31">
        <v>0.3</v>
      </c>
      <c r="H41" s="31">
        <v>0.3</v>
      </c>
      <c r="I41" s="31">
        <v>0.3</v>
      </c>
      <c r="J41" s="31">
        <v>0.3</v>
      </c>
    </row>
    <row r="42" spans="2:10" x14ac:dyDescent="0.2">
      <c r="E42" s="73"/>
      <c r="F42" s="31"/>
      <c r="G42" s="31"/>
      <c r="H42" s="31"/>
      <c r="I42" s="31"/>
      <c r="J42" s="31"/>
    </row>
    <row r="43" spans="2:10" x14ac:dyDescent="0.2">
      <c r="B43" s="247" t="s">
        <v>136</v>
      </c>
      <c r="C43" s="248"/>
      <c r="D43" s="248"/>
      <c r="E43" s="252"/>
      <c r="F43" s="249"/>
      <c r="G43" s="249"/>
      <c r="H43" s="249"/>
      <c r="I43" s="249"/>
      <c r="J43" s="250"/>
    </row>
    <row r="44" spans="2:10" x14ac:dyDescent="0.2">
      <c r="B44" s="251" t="s">
        <v>132</v>
      </c>
      <c r="C44" s="251"/>
      <c r="E44" s="73"/>
      <c r="F44" s="31">
        <v>0.1</v>
      </c>
      <c r="G44" s="31">
        <v>0.1</v>
      </c>
      <c r="H44" s="31">
        <v>0.1</v>
      </c>
      <c r="I44" s="31">
        <v>0.1</v>
      </c>
      <c r="J44" s="31">
        <v>0.1</v>
      </c>
    </row>
    <row r="45" spans="2:10" x14ac:dyDescent="0.2">
      <c r="B45" s="251" t="s">
        <v>133</v>
      </c>
      <c r="C45" s="251"/>
      <c r="E45" s="73"/>
      <c r="F45" s="31">
        <v>7.4999999999999997E-2</v>
      </c>
      <c r="G45" s="31">
        <v>7.4999999999999997E-2</v>
      </c>
      <c r="H45" s="31">
        <v>7.4999999999999997E-2</v>
      </c>
      <c r="I45" s="31">
        <v>7.4999999999999997E-2</v>
      </c>
      <c r="J45" s="31">
        <v>7.4999999999999997E-2</v>
      </c>
    </row>
    <row r="46" spans="2:10" x14ac:dyDescent="0.2">
      <c r="B46" s="251" t="s">
        <v>134</v>
      </c>
      <c r="C46" s="251"/>
      <c r="E46" s="73"/>
      <c r="F46" s="31">
        <v>0.125</v>
      </c>
      <c r="G46" s="31">
        <v>0.125</v>
      </c>
      <c r="H46" s="31">
        <v>0.125</v>
      </c>
      <c r="I46" s="31">
        <v>0.125</v>
      </c>
      <c r="J46" s="31">
        <v>0.125</v>
      </c>
    </row>
    <row r="47" spans="2:10" x14ac:dyDescent="0.2">
      <c r="B47" s="251"/>
      <c r="C47" s="251"/>
      <c r="E47" s="73"/>
      <c r="F47" s="31"/>
      <c r="G47" s="31"/>
      <c r="H47" s="31"/>
      <c r="I47" s="31"/>
      <c r="J47" s="31"/>
    </row>
    <row r="48" spans="2:10" x14ac:dyDescent="0.2">
      <c r="B48" s="247" t="s">
        <v>137</v>
      </c>
      <c r="C48" s="248"/>
      <c r="D48" s="248"/>
      <c r="E48" s="252"/>
      <c r="F48" s="249"/>
      <c r="G48" s="249"/>
      <c r="H48" s="249"/>
      <c r="I48" s="249"/>
      <c r="J48" s="250"/>
    </row>
    <row r="49" spans="2:10" x14ac:dyDescent="0.2">
      <c r="B49" s="251" t="s">
        <v>132</v>
      </c>
      <c r="C49" s="251"/>
      <c r="E49" s="73"/>
      <c r="F49" s="31">
        <v>0.02</v>
      </c>
      <c r="G49" s="31">
        <v>0.02</v>
      </c>
      <c r="H49" s="31">
        <v>0.02</v>
      </c>
      <c r="I49" s="31">
        <v>0.02</v>
      </c>
      <c r="J49" s="31">
        <v>0.02</v>
      </c>
    </row>
    <row r="50" spans="2:10" x14ac:dyDescent="0.2">
      <c r="B50" s="251" t="s">
        <v>133</v>
      </c>
      <c r="C50" s="251"/>
      <c r="E50" s="73"/>
      <c r="F50" s="31">
        <v>1.4999999999999999E-2</v>
      </c>
      <c r="G50" s="31">
        <v>1.4999999999999999E-2</v>
      </c>
      <c r="H50" s="31">
        <v>1.4999999999999999E-2</v>
      </c>
      <c r="I50" s="31">
        <v>1.4999999999999999E-2</v>
      </c>
      <c r="J50" s="31">
        <v>1.4999999999999999E-2</v>
      </c>
    </row>
    <row r="51" spans="2:10" x14ac:dyDescent="0.2">
      <c r="B51" s="251" t="s">
        <v>134</v>
      </c>
      <c r="C51" s="251"/>
      <c r="E51" s="73"/>
      <c r="F51" s="31">
        <v>2.5000000000000001E-2</v>
      </c>
      <c r="G51" s="31">
        <v>2.5000000000000001E-2</v>
      </c>
      <c r="H51" s="31">
        <v>2.5000000000000001E-2</v>
      </c>
      <c r="I51" s="31">
        <v>2.5000000000000001E-2</v>
      </c>
      <c r="J51" s="31">
        <v>2.5000000000000001E-2</v>
      </c>
    </row>
    <row r="52" spans="2:10" x14ac:dyDescent="0.2">
      <c r="B52" s="251"/>
      <c r="C52" s="251"/>
      <c r="E52" s="73"/>
      <c r="F52" s="31"/>
      <c r="G52" s="31"/>
      <c r="H52" s="31"/>
      <c r="I52" s="31"/>
      <c r="J52" s="31"/>
    </row>
    <row r="53" spans="2:10" x14ac:dyDescent="0.2">
      <c r="B53" s="247" t="s">
        <v>190</v>
      </c>
      <c r="C53" s="248"/>
      <c r="D53" s="248"/>
      <c r="E53" s="252"/>
      <c r="F53" s="249"/>
      <c r="G53" s="249"/>
      <c r="H53" s="249"/>
      <c r="I53" s="249"/>
      <c r="J53" s="250"/>
    </row>
    <row r="54" spans="2:10" x14ac:dyDescent="0.2">
      <c r="B54" s="251" t="s">
        <v>132</v>
      </c>
      <c r="C54" s="251"/>
      <c r="E54" s="73"/>
      <c r="F54" s="31">
        <v>0.02</v>
      </c>
      <c r="G54" s="31">
        <v>0.02</v>
      </c>
      <c r="H54" s="31">
        <v>0.02</v>
      </c>
      <c r="I54" s="31">
        <v>0.02</v>
      </c>
      <c r="J54" s="31">
        <v>0.02</v>
      </c>
    </row>
    <row r="55" spans="2:10" x14ac:dyDescent="0.2">
      <c r="B55" s="251" t="s">
        <v>133</v>
      </c>
      <c r="C55" s="251"/>
      <c r="E55" s="73"/>
      <c r="F55" s="31">
        <v>2.5000000000000001E-2</v>
      </c>
      <c r="G55" s="31">
        <v>2.5000000000000001E-2</v>
      </c>
      <c r="H55" s="31">
        <v>2.5000000000000001E-2</v>
      </c>
      <c r="I55" s="31">
        <v>2.5000000000000001E-2</v>
      </c>
      <c r="J55" s="31">
        <v>2.5000000000000001E-2</v>
      </c>
    </row>
    <row r="56" spans="2:10" x14ac:dyDescent="0.2">
      <c r="B56" s="251" t="s">
        <v>134</v>
      </c>
      <c r="C56" s="251"/>
      <c r="E56" s="73"/>
      <c r="F56" s="31">
        <v>1.4999999999999999E-2</v>
      </c>
      <c r="G56" s="31">
        <v>1.4999999999999999E-2</v>
      </c>
      <c r="H56" s="31">
        <v>1.4999999999999999E-2</v>
      </c>
      <c r="I56" s="31">
        <v>1.4999999999999999E-2</v>
      </c>
      <c r="J56" s="31">
        <v>1.4999999999999999E-2</v>
      </c>
    </row>
    <row r="57" spans="2:10" x14ac:dyDescent="0.2">
      <c r="B57" s="251"/>
      <c r="C57" s="251"/>
      <c r="E57" s="73"/>
      <c r="F57" s="31"/>
      <c r="G57" s="31"/>
      <c r="H57" s="31"/>
      <c r="I57" s="31"/>
      <c r="J57" s="31"/>
    </row>
    <row r="58" spans="2:10" x14ac:dyDescent="0.2">
      <c r="B58" s="247" t="s">
        <v>191</v>
      </c>
      <c r="C58" s="248"/>
      <c r="D58" s="248"/>
      <c r="E58" s="253"/>
      <c r="F58" s="249"/>
      <c r="G58" s="249"/>
      <c r="H58" s="249"/>
      <c r="I58" s="249"/>
      <c r="J58" s="250"/>
    </row>
    <row r="59" spans="2:10" x14ac:dyDescent="0.2">
      <c r="B59" s="251" t="s">
        <v>132</v>
      </c>
      <c r="C59" s="251"/>
      <c r="F59" s="31">
        <v>1.4999999999999999E-2</v>
      </c>
      <c r="G59" s="31">
        <v>1.4999999999999999E-2</v>
      </c>
      <c r="H59" s="31">
        <v>1.4999999999999999E-2</v>
      </c>
      <c r="I59" s="31">
        <v>1.4999999999999999E-2</v>
      </c>
      <c r="J59" s="31">
        <v>1.4999999999999999E-2</v>
      </c>
    </row>
    <row r="60" spans="2:10" x14ac:dyDescent="0.2">
      <c r="B60" s="251" t="s">
        <v>133</v>
      </c>
      <c r="C60" s="251"/>
      <c r="F60" s="31">
        <v>0.01</v>
      </c>
      <c r="G60" s="31">
        <v>0.01</v>
      </c>
      <c r="H60" s="31">
        <v>0.01</v>
      </c>
      <c r="I60" s="31">
        <v>0.01</v>
      </c>
      <c r="J60" s="31">
        <v>0.01</v>
      </c>
    </row>
    <row r="61" spans="2:10" x14ac:dyDescent="0.2">
      <c r="B61" s="251" t="s">
        <v>134</v>
      </c>
      <c r="C61" s="251"/>
      <c r="F61" s="31">
        <v>0.02</v>
      </c>
      <c r="G61" s="31">
        <v>0.02</v>
      </c>
      <c r="H61" s="31">
        <v>0.02</v>
      </c>
      <c r="I61" s="31">
        <v>0.02</v>
      </c>
      <c r="J61" s="31">
        <v>0.02</v>
      </c>
    </row>
    <row r="62" spans="2:10" x14ac:dyDescent="0.2">
      <c r="B62" s="251"/>
      <c r="C62" s="251"/>
      <c r="F62" s="31"/>
      <c r="G62" s="31"/>
      <c r="H62" s="31"/>
      <c r="I62" s="31"/>
      <c r="J62" s="31"/>
    </row>
    <row r="63" spans="2:10" x14ac:dyDescent="0.2">
      <c r="B63" s="247" t="s">
        <v>192</v>
      </c>
      <c r="C63" s="248"/>
      <c r="D63" s="248"/>
      <c r="E63" s="253"/>
      <c r="F63" s="249"/>
      <c r="G63" s="249"/>
      <c r="H63" s="249"/>
      <c r="I63" s="249"/>
      <c r="J63" s="250"/>
    </row>
    <row r="64" spans="2:10" x14ac:dyDescent="0.2">
      <c r="B64" s="251" t="s">
        <v>132</v>
      </c>
      <c r="C64" s="251"/>
      <c r="F64" s="31">
        <v>1.4999999999999999E-2</v>
      </c>
      <c r="G64" s="31">
        <v>1.4999999999999999E-2</v>
      </c>
      <c r="H64" s="31">
        <v>1.4999999999999999E-2</v>
      </c>
      <c r="I64" s="31">
        <v>1.4999999999999999E-2</v>
      </c>
      <c r="J64" s="31">
        <v>1.4999999999999999E-2</v>
      </c>
    </row>
    <row r="65" spans="1:10" x14ac:dyDescent="0.2">
      <c r="B65" s="251" t="s">
        <v>133</v>
      </c>
      <c r="C65" s="251"/>
      <c r="F65" s="31">
        <v>0.01</v>
      </c>
      <c r="G65" s="31">
        <v>0.01</v>
      </c>
      <c r="H65" s="31">
        <v>0.01</v>
      </c>
      <c r="I65" s="31">
        <v>0.01</v>
      </c>
      <c r="J65" s="31">
        <v>0.01</v>
      </c>
    </row>
    <row r="66" spans="1:10" x14ac:dyDescent="0.2">
      <c r="B66" s="251" t="s">
        <v>134</v>
      </c>
      <c r="C66" s="251"/>
      <c r="F66" s="31">
        <v>0.02</v>
      </c>
      <c r="G66" s="31">
        <v>0.02</v>
      </c>
      <c r="H66" s="31">
        <v>0.02</v>
      </c>
      <c r="I66" s="31">
        <v>0.02</v>
      </c>
      <c r="J66" s="31">
        <v>0.02</v>
      </c>
    </row>
    <row r="68" spans="1:10" x14ac:dyDescent="0.2">
      <c r="A68" t="s">
        <v>310</v>
      </c>
      <c r="B68" s="3" t="s">
        <v>294</v>
      </c>
      <c r="C68" s="3"/>
      <c r="D68" s="3"/>
      <c r="E68" s="53">
        <v>2020</v>
      </c>
      <c r="G68" s="3" t="s">
        <v>314</v>
      </c>
      <c r="H68" s="3"/>
      <c r="I68" s="3"/>
      <c r="J68" s="53">
        <v>2020</v>
      </c>
    </row>
    <row r="70" spans="1:10" x14ac:dyDescent="0.2">
      <c r="B70" t="s">
        <v>113</v>
      </c>
      <c r="E70" s="60">
        <v>100</v>
      </c>
      <c r="G70" t="s">
        <v>125</v>
      </c>
      <c r="J70" s="33">
        <v>250</v>
      </c>
    </row>
    <row r="71" spans="1:10" x14ac:dyDescent="0.2">
      <c r="B71" s="245" t="s">
        <v>115</v>
      </c>
      <c r="C71" s="245"/>
      <c r="D71" s="245"/>
      <c r="E71" s="47">
        <f>+E72-E70</f>
        <v>-70</v>
      </c>
      <c r="G71" t="s">
        <v>128</v>
      </c>
      <c r="J71" s="33">
        <v>50</v>
      </c>
    </row>
    <row r="72" spans="1:10" x14ac:dyDescent="0.2">
      <c r="B72" s="8" t="s">
        <v>116</v>
      </c>
      <c r="C72" s="8"/>
      <c r="D72" s="8"/>
      <c r="E72" s="66">
        <v>30</v>
      </c>
    </row>
    <row r="73" spans="1:10" x14ac:dyDescent="0.2">
      <c r="B73" t="s">
        <v>118</v>
      </c>
      <c r="E73" s="33">
        <v>-10</v>
      </c>
    </row>
    <row r="74" spans="1:10" x14ac:dyDescent="0.2">
      <c r="B74" s="245" t="s">
        <v>119</v>
      </c>
      <c r="C74" s="245"/>
      <c r="D74" s="245"/>
      <c r="E74" s="37">
        <v>-5</v>
      </c>
    </row>
    <row r="75" spans="1:10" x14ac:dyDescent="0.2">
      <c r="B75" s="8" t="s">
        <v>120</v>
      </c>
      <c r="C75" s="8"/>
      <c r="D75" s="8"/>
      <c r="E75" s="48">
        <v>15</v>
      </c>
    </row>
    <row r="77" spans="1:10" x14ac:dyDescent="0.2">
      <c r="B77" s="3" t="s">
        <v>296</v>
      </c>
      <c r="C77" s="3"/>
      <c r="D77" s="3"/>
      <c r="E77" s="3"/>
      <c r="F77" s="65">
        <v>2021</v>
      </c>
      <c r="G77" s="65">
        <f>+F77+1</f>
        <v>2022</v>
      </c>
      <c r="H77" s="65">
        <f>+G77+1</f>
        <v>2023</v>
      </c>
      <c r="I77" s="65">
        <f>+H77+1</f>
        <v>2024</v>
      </c>
      <c r="J77" s="65">
        <f>+I77+1</f>
        <v>2025</v>
      </c>
    </row>
    <row r="79" spans="1:10" x14ac:dyDescent="0.2">
      <c r="B79" s="247" t="s">
        <v>126</v>
      </c>
      <c r="C79" s="248"/>
      <c r="D79" s="248"/>
      <c r="E79" s="249"/>
      <c r="F79" s="254"/>
      <c r="G79" s="254"/>
      <c r="H79" s="254"/>
      <c r="I79" s="254"/>
      <c r="J79" s="255"/>
    </row>
    <row r="80" spans="1:10" x14ac:dyDescent="0.2">
      <c r="B80" s="251" t="s">
        <v>132</v>
      </c>
      <c r="F80" s="33">
        <v>15</v>
      </c>
      <c r="G80" s="33">
        <v>15</v>
      </c>
      <c r="H80" s="33">
        <v>15</v>
      </c>
      <c r="I80" s="33">
        <v>15</v>
      </c>
      <c r="J80" s="33">
        <v>15</v>
      </c>
    </row>
    <row r="81" spans="2:10" x14ac:dyDescent="0.2">
      <c r="B81" s="251" t="s">
        <v>133</v>
      </c>
      <c r="F81" s="33">
        <v>20</v>
      </c>
      <c r="G81" s="33">
        <v>20</v>
      </c>
      <c r="H81" s="33">
        <v>20</v>
      </c>
      <c r="I81" s="33">
        <v>20</v>
      </c>
      <c r="J81" s="33">
        <v>20</v>
      </c>
    </row>
    <row r="82" spans="2:10" x14ac:dyDescent="0.2">
      <c r="B82" s="251" t="s">
        <v>134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</row>
    <row r="83" spans="2:10" x14ac:dyDescent="0.2">
      <c r="F83" s="246"/>
      <c r="G83" s="246"/>
      <c r="H83" s="246"/>
      <c r="I83" s="246"/>
      <c r="J83" s="246"/>
    </row>
    <row r="84" spans="2:10" x14ac:dyDescent="0.2">
      <c r="B84" s="247" t="s">
        <v>135</v>
      </c>
      <c r="C84" s="248"/>
      <c r="D84" s="248"/>
      <c r="E84" s="249"/>
      <c r="F84" s="254"/>
      <c r="G84" s="254"/>
      <c r="H84" s="254"/>
      <c r="I84" s="254"/>
      <c r="J84" s="255"/>
    </row>
    <row r="85" spans="2:10" x14ac:dyDescent="0.2">
      <c r="B85" s="251" t="s">
        <v>132</v>
      </c>
      <c r="F85" s="33">
        <v>15</v>
      </c>
      <c r="G85" s="33">
        <v>15</v>
      </c>
      <c r="H85" s="33">
        <v>15</v>
      </c>
      <c r="I85" s="33">
        <v>15</v>
      </c>
      <c r="J85" s="33">
        <v>15</v>
      </c>
    </row>
    <row r="86" spans="2:10" x14ac:dyDescent="0.2">
      <c r="B86" s="251" t="s">
        <v>133</v>
      </c>
      <c r="F86" s="33">
        <v>25</v>
      </c>
      <c r="G86" s="33">
        <v>25</v>
      </c>
      <c r="H86" s="33">
        <v>25</v>
      </c>
      <c r="I86" s="33">
        <v>25</v>
      </c>
      <c r="J86" s="33">
        <v>25</v>
      </c>
    </row>
    <row r="87" spans="2:10" x14ac:dyDescent="0.2">
      <c r="B87" s="251" t="s">
        <v>134</v>
      </c>
      <c r="F87" s="33">
        <v>-5</v>
      </c>
      <c r="G87" s="33">
        <v>-5</v>
      </c>
      <c r="H87" s="33">
        <v>-5</v>
      </c>
      <c r="I87" s="33">
        <v>-5</v>
      </c>
      <c r="J87" s="33">
        <v>-5</v>
      </c>
    </row>
    <row r="88" spans="2:10" x14ac:dyDescent="0.2">
      <c r="E88" s="73"/>
      <c r="F88" s="73"/>
      <c r="G88" s="73"/>
      <c r="H88" s="73"/>
      <c r="I88" s="73"/>
      <c r="J88" s="73"/>
    </row>
    <row r="89" spans="2:10" x14ac:dyDescent="0.2">
      <c r="B89" s="247" t="s">
        <v>131</v>
      </c>
      <c r="C89" s="248"/>
      <c r="D89" s="248"/>
      <c r="E89" s="249"/>
      <c r="F89" s="256"/>
      <c r="G89" s="256"/>
      <c r="H89" s="256"/>
      <c r="I89" s="256"/>
      <c r="J89" s="257"/>
    </row>
    <row r="90" spans="2:10" x14ac:dyDescent="0.2">
      <c r="B90" s="251" t="s">
        <v>132</v>
      </c>
      <c r="E90" s="73"/>
      <c r="F90" s="117">
        <v>0.25</v>
      </c>
      <c r="G90" s="117">
        <v>0.25</v>
      </c>
      <c r="H90" s="117">
        <v>0.25</v>
      </c>
      <c r="I90" s="117">
        <v>0.25</v>
      </c>
      <c r="J90" s="117">
        <v>0.25</v>
      </c>
    </row>
    <row r="91" spans="2:10" x14ac:dyDescent="0.2">
      <c r="B91" s="251" t="s">
        <v>133</v>
      </c>
      <c r="E91" s="73"/>
      <c r="F91" s="117">
        <v>0.5</v>
      </c>
      <c r="G91" s="117">
        <v>0.5</v>
      </c>
      <c r="H91" s="117">
        <v>0.5</v>
      </c>
      <c r="I91" s="117">
        <v>0.5</v>
      </c>
      <c r="J91" s="117">
        <v>0.5</v>
      </c>
    </row>
    <row r="92" spans="2:10" x14ac:dyDescent="0.2">
      <c r="B92" s="251" t="s">
        <v>134</v>
      </c>
      <c r="E92" s="73"/>
      <c r="F92" s="117">
        <v>-0.1</v>
      </c>
      <c r="G92" s="117">
        <v>-0.1</v>
      </c>
      <c r="H92" s="117">
        <v>-0.1</v>
      </c>
      <c r="I92" s="117">
        <v>-0.1</v>
      </c>
      <c r="J92" s="117">
        <v>-0.1</v>
      </c>
    </row>
    <row r="93" spans="2:10" x14ac:dyDescent="0.2">
      <c r="E93" s="73"/>
      <c r="F93" s="31"/>
      <c r="G93" s="31"/>
      <c r="H93" s="31"/>
      <c r="I93" s="31"/>
      <c r="J93" s="31"/>
    </row>
    <row r="94" spans="2:10" x14ac:dyDescent="0.2">
      <c r="B94" s="247" t="s">
        <v>117</v>
      </c>
      <c r="C94" s="248"/>
      <c r="D94" s="248"/>
      <c r="E94" s="252"/>
      <c r="F94" s="249"/>
      <c r="G94" s="249"/>
      <c r="H94" s="249"/>
      <c r="I94" s="249"/>
      <c r="J94" s="250"/>
    </row>
    <row r="95" spans="2:10" x14ac:dyDescent="0.2">
      <c r="B95" s="251" t="s">
        <v>132</v>
      </c>
      <c r="C95" s="251"/>
      <c r="E95" s="73"/>
      <c r="F95" s="31">
        <v>0.3</v>
      </c>
      <c r="G95" s="31">
        <v>0.3</v>
      </c>
      <c r="H95" s="31">
        <v>0.3</v>
      </c>
      <c r="I95" s="31">
        <v>0.3</v>
      </c>
      <c r="J95" s="31">
        <v>0.3</v>
      </c>
    </row>
    <row r="96" spans="2:10" x14ac:dyDescent="0.2">
      <c r="B96" s="251" t="s">
        <v>133</v>
      </c>
      <c r="C96" s="251"/>
      <c r="E96" s="73"/>
      <c r="F96" s="31">
        <v>0.35</v>
      </c>
      <c r="G96" s="31">
        <v>0.35</v>
      </c>
      <c r="H96" s="31">
        <v>0.35</v>
      </c>
      <c r="I96" s="31">
        <v>0.35</v>
      </c>
      <c r="J96" s="31">
        <v>0.35</v>
      </c>
    </row>
    <row r="97" spans="2:10" x14ac:dyDescent="0.2">
      <c r="B97" s="251" t="s">
        <v>134</v>
      </c>
      <c r="C97" s="251"/>
      <c r="E97" s="73"/>
      <c r="F97" s="31">
        <v>0.25</v>
      </c>
      <c r="G97" s="31">
        <v>0.25</v>
      </c>
      <c r="H97" s="31">
        <v>0.25</v>
      </c>
      <c r="I97" s="31">
        <v>0.25</v>
      </c>
      <c r="J97" s="31">
        <v>0.25</v>
      </c>
    </row>
    <row r="98" spans="2:10" x14ac:dyDescent="0.2">
      <c r="E98" s="73"/>
      <c r="F98" s="31"/>
      <c r="G98" s="31"/>
      <c r="H98" s="31"/>
      <c r="I98" s="31"/>
      <c r="J98" s="31"/>
    </row>
    <row r="99" spans="2:10" x14ac:dyDescent="0.2">
      <c r="B99" s="247" t="s">
        <v>136</v>
      </c>
      <c r="C99" s="248"/>
      <c r="D99" s="248"/>
      <c r="E99" s="252"/>
      <c r="F99" s="249"/>
      <c r="G99" s="249"/>
      <c r="H99" s="249"/>
      <c r="I99" s="249"/>
      <c r="J99" s="250"/>
    </row>
    <row r="100" spans="2:10" x14ac:dyDescent="0.2">
      <c r="B100" s="251" t="s">
        <v>132</v>
      </c>
      <c r="C100" s="251"/>
      <c r="E100" s="73"/>
      <c r="F100" s="31">
        <v>0.1</v>
      </c>
      <c r="G100" s="31">
        <v>0.1</v>
      </c>
      <c r="H100" s="31">
        <v>0.1</v>
      </c>
      <c r="I100" s="31">
        <v>0.1</v>
      </c>
      <c r="J100" s="31">
        <v>0.1</v>
      </c>
    </row>
    <row r="101" spans="2:10" x14ac:dyDescent="0.2">
      <c r="B101" s="251" t="s">
        <v>133</v>
      </c>
      <c r="C101" s="251"/>
      <c r="E101" s="73"/>
      <c r="F101" s="31">
        <v>7.4999999999999997E-2</v>
      </c>
      <c r="G101" s="31">
        <v>7.4999999999999997E-2</v>
      </c>
      <c r="H101" s="31">
        <v>7.4999999999999997E-2</v>
      </c>
      <c r="I101" s="31">
        <v>7.4999999999999997E-2</v>
      </c>
      <c r="J101" s="31">
        <v>7.4999999999999997E-2</v>
      </c>
    </row>
    <row r="102" spans="2:10" x14ac:dyDescent="0.2">
      <c r="B102" s="251" t="s">
        <v>134</v>
      </c>
      <c r="C102" s="251"/>
      <c r="E102" s="73"/>
      <c r="F102" s="31">
        <v>0.125</v>
      </c>
      <c r="G102" s="31">
        <v>0.125</v>
      </c>
      <c r="H102" s="31">
        <v>0.125</v>
      </c>
      <c r="I102" s="31">
        <v>0.125</v>
      </c>
      <c r="J102" s="31">
        <v>0.125</v>
      </c>
    </row>
    <row r="103" spans="2:10" x14ac:dyDescent="0.2">
      <c r="B103" s="251"/>
      <c r="C103" s="251"/>
      <c r="E103" s="73"/>
      <c r="F103" s="31"/>
      <c r="G103" s="31"/>
      <c r="H103" s="31"/>
      <c r="I103" s="31"/>
      <c r="J103" s="31"/>
    </row>
    <row r="104" spans="2:10" x14ac:dyDescent="0.2">
      <c r="B104" s="247" t="s">
        <v>137</v>
      </c>
      <c r="C104" s="248"/>
      <c r="D104" s="248"/>
      <c r="E104" s="249"/>
      <c r="F104" s="249"/>
      <c r="G104" s="249"/>
      <c r="H104" s="249"/>
      <c r="I104" s="249"/>
      <c r="J104" s="250"/>
    </row>
    <row r="105" spans="2:10" x14ac:dyDescent="0.2">
      <c r="B105" s="251" t="s">
        <v>132</v>
      </c>
      <c r="C105" s="251"/>
      <c r="E105" s="73"/>
      <c r="F105" s="31">
        <v>0.05</v>
      </c>
      <c r="G105" s="31">
        <v>0.05</v>
      </c>
      <c r="H105" s="31">
        <v>0.05</v>
      </c>
      <c r="I105" s="31">
        <v>0.05</v>
      </c>
      <c r="J105" s="31">
        <v>0.05</v>
      </c>
    </row>
    <row r="106" spans="2:10" x14ac:dyDescent="0.2">
      <c r="B106" s="251" t="s">
        <v>133</v>
      </c>
      <c r="C106" s="251"/>
      <c r="E106" s="73"/>
      <c r="F106" s="31">
        <v>2.5000000000000001E-2</v>
      </c>
      <c r="G106" s="31">
        <v>2.5000000000000001E-2</v>
      </c>
      <c r="H106" s="31">
        <v>2.5000000000000001E-2</v>
      </c>
      <c r="I106" s="31">
        <v>2.5000000000000001E-2</v>
      </c>
      <c r="J106" s="31">
        <v>2.5000000000000001E-2</v>
      </c>
    </row>
    <row r="107" spans="2:10" x14ac:dyDescent="0.2">
      <c r="B107" s="251" t="s">
        <v>134</v>
      </c>
      <c r="C107" s="251"/>
      <c r="E107" s="73"/>
      <c r="F107" s="31">
        <v>0.01</v>
      </c>
      <c r="G107" s="31">
        <v>0.01</v>
      </c>
      <c r="H107" s="31">
        <v>0.01</v>
      </c>
      <c r="I107" s="31">
        <v>0.01</v>
      </c>
      <c r="J107" s="31">
        <v>0.01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F7A30-0755-4F2F-AD0F-248FE8F6F09E}">
  <sheetPr>
    <tabColor theme="7" tint="0.79998168889431442"/>
  </sheetPr>
  <dimension ref="A2:J433"/>
  <sheetViews>
    <sheetView showGridLines="0" zoomScaleNormal="100" workbookViewId="0"/>
  </sheetViews>
  <sheetFormatPr defaultColWidth="8.85546875" defaultRowHeight="12.75" x14ac:dyDescent="0.2"/>
  <cols>
    <col min="1" max="1" width="1.7109375" bestFit="1" customWidth="1"/>
    <col min="2" max="2" width="20.7109375" customWidth="1"/>
    <col min="3" max="10" width="10.7109375" customWidth="1"/>
  </cols>
  <sheetData>
    <row r="2" spans="1:10" x14ac:dyDescent="0.2">
      <c r="B2" s="358" t="s">
        <v>309</v>
      </c>
      <c r="C2" s="358"/>
      <c r="D2" s="358"/>
      <c r="E2" s="358"/>
      <c r="F2" s="358"/>
      <c r="G2" s="358"/>
      <c r="H2" s="358"/>
      <c r="I2" s="358"/>
      <c r="J2" s="358"/>
    </row>
    <row r="3" spans="1:10" x14ac:dyDescent="0.2">
      <c r="B3" s="248" t="s">
        <v>0</v>
      </c>
      <c r="C3" s="248"/>
      <c r="D3" s="248"/>
      <c r="E3" s="248"/>
      <c r="F3" s="248"/>
      <c r="G3" s="248"/>
      <c r="H3" s="248"/>
      <c r="I3" s="248"/>
      <c r="J3" s="248"/>
    </row>
    <row r="5" spans="1:10" x14ac:dyDescent="0.2">
      <c r="A5" t="s">
        <v>310</v>
      </c>
      <c r="B5" s="416" t="s">
        <v>1</v>
      </c>
      <c r="C5" s="416"/>
      <c r="D5" s="416"/>
      <c r="E5" s="416"/>
      <c r="F5" s="416"/>
      <c r="G5" s="421"/>
      <c r="H5" s="421"/>
      <c r="I5" s="421"/>
      <c r="J5" s="421"/>
    </row>
    <row r="7" spans="1:10" x14ac:dyDescent="0.2">
      <c r="B7" s="3" t="s">
        <v>2</v>
      </c>
      <c r="C7" s="3"/>
      <c r="D7" s="3"/>
      <c r="E7" s="3"/>
      <c r="G7" s="3" t="s">
        <v>3</v>
      </c>
      <c r="H7" s="3"/>
      <c r="I7" s="3"/>
      <c r="J7" s="3"/>
    </row>
    <row r="8" spans="1:10" x14ac:dyDescent="0.2">
      <c r="B8" t="s">
        <v>4</v>
      </c>
      <c r="E8" s="136"/>
      <c r="G8" t="s">
        <v>5</v>
      </c>
      <c r="J8" s="141"/>
    </row>
    <row r="9" spans="1:10" x14ac:dyDescent="0.2">
      <c r="B9" t="s">
        <v>6</v>
      </c>
      <c r="E9" s="137"/>
      <c r="G9" s="245" t="s">
        <v>7</v>
      </c>
      <c r="H9" s="245"/>
      <c r="I9" s="245"/>
      <c r="J9" s="138"/>
    </row>
    <row r="10" spans="1:10" x14ac:dyDescent="0.2">
      <c r="B10" s="251" t="s">
        <v>8</v>
      </c>
      <c r="C10" s="251"/>
      <c r="D10" s="251"/>
      <c r="E10" s="148"/>
      <c r="G10" s="8" t="s">
        <v>9</v>
      </c>
      <c r="H10" s="8"/>
      <c r="I10" s="8"/>
      <c r="J10" s="142"/>
    </row>
    <row r="11" spans="1:10" x14ac:dyDescent="0.2">
      <c r="B11" s="245" t="s">
        <v>9</v>
      </c>
      <c r="C11" s="245"/>
      <c r="D11" s="245"/>
      <c r="E11" s="138"/>
    </row>
    <row r="12" spans="1:10" x14ac:dyDescent="0.2">
      <c r="B12" s="10" t="s">
        <v>10</v>
      </c>
      <c r="C12" s="10"/>
      <c r="D12" s="10"/>
      <c r="E12" s="139"/>
      <c r="G12" s="12" t="s">
        <v>11</v>
      </c>
      <c r="H12" s="13" t="s">
        <v>12</v>
      </c>
      <c r="I12" s="13" t="s">
        <v>13</v>
      </c>
      <c r="J12" s="13" t="s">
        <v>14</v>
      </c>
    </row>
    <row r="13" spans="1:10" x14ac:dyDescent="0.2">
      <c r="B13" s="245" t="s">
        <v>15</v>
      </c>
      <c r="C13" s="245"/>
      <c r="D13" s="245"/>
      <c r="E13" s="138"/>
      <c r="G13" s="259">
        <v>1</v>
      </c>
      <c r="H13" s="144"/>
      <c r="I13" s="145"/>
      <c r="J13" s="260"/>
    </row>
    <row r="14" spans="1:10" x14ac:dyDescent="0.2">
      <c r="B14" s="8" t="s">
        <v>16</v>
      </c>
      <c r="C14" s="8"/>
      <c r="D14" s="8"/>
      <c r="E14" s="139"/>
      <c r="G14" s="259">
        <f>+G13+1</f>
        <v>2</v>
      </c>
      <c r="H14" s="144"/>
      <c r="I14" s="145"/>
      <c r="J14" s="260"/>
    </row>
    <row r="15" spans="1:10" x14ac:dyDescent="0.2">
      <c r="B15" s="245" t="s">
        <v>17</v>
      </c>
      <c r="C15" s="245"/>
      <c r="D15" s="245"/>
      <c r="E15" s="138"/>
      <c r="G15" s="261">
        <f>+G14+1</f>
        <v>3</v>
      </c>
      <c r="H15" s="146"/>
      <c r="I15" s="147"/>
      <c r="J15" s="262"/>
    </row>
    <row r="16" spans="1:10" x14ac:dyDescent="0.2">
      <c r="B16" s="8" t="s">
        <v>18</v>
      </c>
      <c r="C16" s="8"/>
      <c r="D16" s="8"/>
      <c r="E16" s="140"/>
      <c r="G16" s="8" t="s">
        <v>19</v>
      </c>
      <c r="H16" s="19"/>
      <c r="I16" s="19"/>
      <c r="J16" s="143"/>
    </row>
    <row r="18" spans="2:10" x14ac:dyDescent="0.2">
      <c r="B18" s="3" t="s">
        <v>20</v>
      </c>
      <c r="C18" s="3"/>
      <c r="D18" s="3"/>
      <c r="E18" s="3"/>
      <c r="G18" s="3" t="s">
        <v>21</v>
      </c>
      <c r="H18" s="3"/>
      <c r="I18" s="3"/>
      <c r="J18" s="3"/>
    </row>
    <row r="19" spans="2:10" x14ac:dyDescent="0.2">
      <c r="B19" t="s">
        <v>22</v>
      </c>
      <c r="E19" s="148"/>
      <c r="G19" t="s">
        <v>23</v>
      </c>
      <c r="J19" s="149"/>
    </row>
    <row r="20" spans="2:10" x14ac:dyDescent="0.2">
      <c r="B20" t="s">
        <v>24</v>
      </c>
      <c r="E20" s="149"/>
      <c r="G20" t="s">
        <v>25</v>
      </c>
      <c r="J20" s="150"/>
    </row>
    <row r="21" spans="2:10" x14ac:dyDescent="0.2">
      <c r="B21" t="s">
        <v>26</v>
      </c>
      <c r="E21" s="149"/>
      <c r="G21" t="s">
        <v>27</v>
      </c>
      <c r="J21" s="151"/>
    </row>
    <row r="22" spans="2:10" x14ac:dyDescent="0.2">
      <c r="B22" t="s">
        <v>28</v>
      </c>
      <c r="E22" s="149"/>
      <c r="G22" t="s">
        <v>29</v>
      </c>
      <c r="J22" s="152"/>
    </row>
    <row r="23" spans="2:10" x14ac:dyDescent="0.2">
      <c r="B23" t="s">
        <v>30</v>
      </c>
      <c r="E23" s="148"/>
      <c r="G23" t="s">
        <v>31</v>
      </c>
      <c r="J23" s="153"/>
    </row>
    <row r="24" spans="2:10" x14ac:dyDescent="0.2">
      <c r="E24" s="21"/>
      <c r="J24" s="26"/>
    </row>
    <row r="25" spans="2:10" x14ac:dyDescent="0.2">
      <c r="B25" s="3" t="s">
        <v>32</v>
      </c>
      <c r="C25" s="3"/>
      <c r="D25" s="3"/>
      <c r="E25" s="3"/>
      <c r="F25" s="3"/>
      <c r="G25" s="3"/>
      <c r="H25" s="3"/>
      <c r="I25" s="3"/>
      <c r="J25" s="3"/>
    </row>
    <row r="26" spans="2:10" x14ac:dyDescent="0.2">
      <c r="B26" s="1" t="s">
        <v>33</v>
      </c>
      <c r="C26" s="1"/>
      <c r="D26" s="27" t="s">
        <v>34</v>
      </c>
      <c r="E26" s="27" t="s">
        <v>35</v>
      </c>
      <c r="F26" s="27" t="s">
        <v>36</v>
      </c>
      <c r="G26" s="28" t="s">
        <v>37</v>
      </c>
      <c r="H26" s="28" t="s">
        <v>38</v>
      </c>
      <c r="I26" s="28" t="s">
        <v>39</v>
      </c>
      <c r="J26" s="28" t="s">
        <v>40</v>
      </c>
    </row>
    <row r="27" spans="2:10" x14ac:dyDescent="0.2">
      <c r="B27" t="s">
        <v>41</v>
      </c>
      <c r="D27" s="154"/>
      <c r="E27" s="155"/>
      <c r="F27" s="156"/>
      <c r="G27" s="156"/>
      <c r="H27" s="157"/>
      <c r="I27" s="263"/>
      <c r="J27" s="263"/>
    </row>
    <row r="28" spans="2:10" x14ac:dyDescent="0.2">
      <c r="B28" t="s">
        <v>42</v>
      </c>
      <c r="D28" s="154"/>
      <c r="E28" s="155"/>
      <c r="F28" s="156"/>
      <c r="G28" s="156"/>
      <c r="H28" s="158"/>
      <c r="I28" s="264"/>
      <c r="J28" s="264"/>
    </row>
    <row r="29" spans="2:10" x14ac:dyDescent="0.2">
      <c r="B29" s="245" t="s">
        <v>43</v>
      </c>
      <c r="C29" s="245"/>
      <c r="D29" s="159"/>
      <c r="E29" s="160"/>
      <c r="F29" s="160"/>
      <c r="G29" s="160"/>
      <c r="H29" s="161"/>
      <c r="I29" s="162"/>
      <c r="J29" s="162"/>
    </row>
    <row r="30" spans="2:10" x14ac:dyDescent="0.2">
      <c r="B30" s="8" t="s">
        <v>44</v>
      </c>
      <c r="D30" s="163"/>
      <c r="E30" s="8"/>
      <c r="F30" s="19"/>
      <c r="J30" s="139"/>
    </row>
    <row r="32" spans="2:10" x14ac:dyDescent="0.2">
      <c r="B32" s="3" t="s">
        <v>45</v>
      </c>
      <c r="C32" s="3"/>
      <c r="D32" s="3"/>
      <c r="E32" s="3"/>
      <c r="G32" s="3" t="s">
        <v>46</v>
      </c>
      <c r="H32" s="3"/>
      <c r="I32" s="3"/>
      <c r="J32" s="3"/>
    </row>
    <row r="33" spans="1:10" x14ac:dyDescent="0.2">
      <c r="B33" t="s">
        <v>47</v>
      </c>
      <c r="E33" s="164"/>
      <c r="G33" t="s">
        <v>48</v>
      </c>
      <c r="J33" s="164"/>
    </row>
    <row r="34" spans="1:10" x14ac:dyDescent="0.2">
      <c r="B34" t="s">
        <v>49</v>
      </c>
      <c r="E34" s="165"/>
      <c r="G34" t="s">
        <v>50</v>
      </c>
      <c r="J34" s="168"/>
    </row>
    <row r="35" spans="1:10" x14ac:dyDescent="0.2">
      <c r="B35" t="s">
        <v>51</v>
      </c>
      <c r="E35" s="166"/>
      <c r="G35" t="s">
        <v>52</v>
      </c>
      <c r="J35" s="167"/>
    </row>
    <row r="36" spans="1:10" x14ac:dyDescent="0.2">
      <c r="B36" t="s">
        <v>53</v>
      </c>
      <c r="E36" s="167"/>
    </row>
    <row r="37" spans="1:10" x14ac:dyDescent="0.2">
      <c r="J37" s="2"/>
    </row>
    <row r="38" spans="1:10" x14ac:dyDescent="0.2">
      <c r="A38" t="s">
        <v>310</v>
      </c>
      <c r="B38" s="416" t="s">
        <v>312</v>
      </c>
      <c r="C38" s="416"/>
      <c r="D38" s="416"/>
      <c r="E38" s="416"/>
      <c r="F38" s="416"/>
      <c r="G38" s="416"/>
      <c r="H38" s="416"/>
      <c r="I38" s="416"/>
      <c r="J38" s="416"/>
    </row>
    <row r="40" spans="1:10" x14ac:dyDescent="0.2">
      <c r="B40" s="3" t="s">
        <v>54</v>
      </c>
      <c r="C40" s="3"/>
      <c r="D40" s="3"/>
      <c r="E40" s="3"/>
      <c r="F40" s="44"/>
      <c r="G40" s="3"/>
      <c r="H40" s="3"/>
      <c r="I40" s="3"/>
      <c r="J40" s="3"/>
    </row>
    <row r="41" spans="1:10" x14ac:dyDescent="0.2">
      <c r="B41" s="1" t="s">
        <v>55</v>
      </c>
      <c r="C41" s="1"/>
      <c r="D41" s="1"/>
      <c r="E41" s="27" t="s">
        <v>56</v>
      </c>
      <c r="G41" s="45" t="s">
        <v>57</v>
      </c>
      <c r="H41" s="1"/>
      <c r="I41" s="1"/>
      <c r="J41" s="27" t="s">
        <v>56</v>
      </c>
    </row>
    <row r="42" spans="1:10" x14ac:dyDescent="0.2">
      <c r="B42" t="s">
        <v>41</v>
      </c>
      <c r="E42" s="169"/>
      <c r="G42" t="s">
        <v>58</v>
      </c>
      <c r="J42" s="169"/>
    </row>
    <row r="43" spans="1:10" x14ac:dyDescent="0.2">
      <c r="B43" s="245" t="s">
        <v>42</v>
      </c>
      <c r="C43" s="245"/>
      <c r="D43" s="245"/>
      <c r="E43" s="170"/>
      <c r="G43" t="s">
        <v>59</v>
      </c>
      <c r="J43" s="264"/>
    </row>
    <row r="44" spans="1:10" x14ac:dyDescent="0.2">
      <c r="B44" s="8" t="s">
        <v>44</v>
      </c>
      <c r="C44" s="8"/>
      <c r="D44" s="8"/>
      <c r="E44" s="139"/>
      <c r="G44" t="s">
        <v>24</v>
      </c>
      <c r="J44" s="264"/>
    </row>
    <row r="45" spans="1:10" x14ac:dyDescent="0.2">
      <c r="B45" t="s">
        <v>60</v>
      </c>
      <c r="E45" s="157"/>
      <c r="G45" t="s">
        <v>61</v>
      </c>
      <c r="J45" s="157"/>
    </row>
    <row r="46" spans="1:10" x14ac:dyDescent="0.2">
      <c r="B46" s="245" t="s">
        <v>62</v>
      </c>
      <c r="C46" s="245"/>
      <c r="D46" s="245"/>
      <c r="E46" s="170"/>
      <c r="G46" s="245" t="s">
        <v>63</v>
      </c>
      <c r="H46" s="245"/>
      <c r="I46" s="245"/>
      <c r="J46" s="170"/>
    </row>
    <row r="47" spans="1:10" x14ac:dyDescent="0.2">
      <c r="B47" s="8" t="s">
        <v>64</v>
      </c>
      <c r="C47" s="8"/>
      <c r="D47" s="8"/>
      <c r="E47" s="139"/>
      <c r="G47" s="8" t="s">
        <v>65</v>
      </c>
      <c r="H47" s="8"/>
      <c r="I47" s="8"/>
      <c r="J47" s="139"/>
    </row>
    <row r="48" spans="1:10" x14ac:dyDescent="0.2">
      <c r="B48" s="245"/>
      <c r="C48" s="245"/>
      <c r="D48" s="245"/>
      <c r="E48" s="245"/>
    </row>
    <row r="49" spans="1:10" x14ac:dyDescent="0.2">
      <c r="B49" s="8" t="s">
        <v>66</v>
      </c>
      <c r="C49" s="8"/>
      <c r="D49" s="8"/>
      <c r="E49" s="171"/>
      <c r="G49" t="s">
        <v>67</v>
      </c>
      <c r="J49" s="157"/>
    </row>
    <row r="51" spans="1:10" x14ac:dyDescent="0.2">
      <c r="A51" t="s">
        <v>310</v>
      </c>
      <c r="B51" s="415" t="s">
        <v>68</v>
      </c>
      <c r="C51" s="369"/>
      <c r="D51" s="369"/>
      <c r="E51" s="369"/>
      <c r="F51" s="369"/>
      <c r="G51" s="369"/>
      <c r="H51" s="369"/>
      <c r="I51" s="369"/>
      <c r="J51" s="369"/>
    </row>
    <row r="53" spans="1:10" x14ac:dyDescent="0.2">
      <c r="B53" s="3" t="s">
        <v>69</v>
      </c>
      <c r="C53" s="3"/>
      <c r="D53" s="3"/>
      <c r="E53" s="3"/>
      <c r="G53" s="3" t="s">
        <v>70</v>
      </c>
      <c r="H53" s="3"/>
      <c r="I53" s="3"/>
      <c r="J53" s="3"/>
    </row>
    <row r="54" spans="1:10" x14ac:dyDescent="0.2">
      <c r="B54" s="244" t="s">
        <v>58</v>
      </c>
      <c r="C54" s="244"/>
      <c r="E54" s="169"/>
      <c r="G54" s="244" t="s">
        <v>71</v>
      </c>
      <c r="J54" s="172"/>
    </row>
    <row r="55" spans="1:10" x14ac:dyDescent="0.2">
      <c r="B55" s="244" t="s">
        <v>72</v>
      </c>
      <c r="C55" s="244"/>
      <c r="E55" s="157"/>
      <c r="G55" s="244" t="s">
        <v>73</v>
      </c>
      <c r="J55" s="173"/>
    </row>
    <row r="56" spans="1:10" x14ac:dyDescent="0.2">
      <c r="B56" s="265" t="s">
        <v>74</v>
      </c>
      <c r="C56" s="265"/>
      <c r="D56" s="245"/>
      <c r="E56" s="170"/>
      <c r="G56" s="244" t="s">
        <v>75</v>
      </c>
      <c r="J56" s="263"/>
    </row>
    <row r="57" spans="1:10" x14ac:dyDescent="0.2">
      <c r="B57" s="10" t="s">
        <v>76</v>
      </c>
      <c r="C57" s="10"/>
      <c r="E57" s="139"/>
      <c r="G57" s="244" t="s">
        <v>77</v>
      </c>
      <c r="J57" s="263"/>
    </row>
    <row r="58" spans="1:10" x14ac:dyDescent="0.2">
      <c r="B58" s="244" t="s">
        <v>78</v>
      </c>
      <c r="C58" s="244"/>
      <c r="E58" s="157"/>
      <c r="G58" s="244" t="s">
        <v>79</v>
      </c>
      <c r="J58" s="263"/>
    </row>
    <row r="59" spans="1:10" x14ac:dyDescent="0.2">
      <c r="B59" s="244" t="s">
        <v>80</v>
      </c>
      <c r="C59" s="244"/>
      <c r="E59" s="157"/>
      <c r="G59" s="2"/>
      <c r="H59" s="2"/>
      <c r="I59" s="2"/>
      <c r="J59" s="2"/>
    </row>
    <row r="60" spans="1:10" x14ac:dyDescent="0.2">
      <c r="B60" s="265" t="s">
        <v>81</v>
      </c>
      <c r="C60" s="265"/>
      <c r="D60" s="245"/>
      <c r="E60" s="170"/>
      <c r="G60" s="3" t="s">
        <v>82</v>
      </c>
      <c r="H60" s="3"/>
      <c r="I60" s="3"/>
      <c r="J60" s="3"/>
    </row>
    <row r="61" spans="1:10" x14ac:dyDescent="0.2">
      <c r="B61" s="10" t="s">
        <v>83</v>
      </c>
      <c r="C61" s="10"/>
      <c r="E61" s="139"/>
      <c r="G61" s="244" t="s">
        <v>84</v>
      </c>
      <c r="J61" s="174"/>
    </row>
    <row r="62" spans="1:10" x14ac:dyDescent="0.2">
      <c r="G62" s="244" t="s">
        <v>73</v>
      </c>
      <c r="J62" s="175"/>
    </row>
    <row r="63" spans="1:10" x14ac:dyDescent="0.2">
      <c r="G63" s="244" t="s">
        <v>85</v>
      </c>
      <c r="J63" s="263"/>
    </row>
    <row r="64" spans="1:10" x14ac:dyDescent="0.2">
      <c r="G64" s="244" t="s">
        <v>77</v>
      </c>
      <c r="J64" s="263"/>
    </row>
    <row r="65" spans="1:10" x14ac:dyDescent="0.2">
      <c r="G65" s="244" t="s">
        <v>79</v>
      </c>
      <c r="J65" s="263"/>
    </row>
    <row r="66" spans="1:10" x14ac:dyDescent="0.2">
      <c r="G66" s="244"/>
      <c r="J66" s="266"/>
    </row>
    <row r="67" spans="1:10" x14ac:dyDescent="0.2">
      <c r="A67" t="s">
        <v>310</v>
      </c>
      <c r="B67" s="416" t="s">
        <v>86</v>
      </c>
      <c r="C67" s="416"/>
      <c r="D67" s="416"/>
      <c r="E67" s="416"/>
      <c r="F67" s="416"/>
      <c r="G67" s="422"/>
      <c r="H67" s="416"/>
      <c r="I67" s="416"/>
      <c r="J67" s="423"/>
    </row>
    <row r="69" spans="1:10" x14ac:dyDescent="0.2">
      <c r="B69" s="3" t="s">
        <v>87</v>
      </c>
      <c r="C69" s="3"/>
      <c r="D69" s="3"/>
      <c r="E69" s="3"/>
      <c r="F69" s="3"/>
      <c r="G69" s="53">
        <v>2020</v>
      </c>
      <c r="H69" s="54" t="s">
        <v>88</v>
      </c>
      <c r="I69" s="54"/>
      <c r="J69" s="55">
        <v>2020</v>
      </c>
    </row>
    <row r="70" spans="1:10" x14ac:dyDescent="0.2">
      <c r="G70" s="244"/>
      <c r="H70" s="56" t="s">
        <v>89</v>
      </c>
      <c r="I70" s="57" t="s">
        <v>90</v>
      </c>
    </row>
    <row r="71" spans="1:10" x14ac:dyDescent="0.2">
      <c r="G71" s="244"/>
      <c r="H71" s="58"/>
      <c r="I71" s="59"/>
    </row>
    <row r="72" spans="1:10" x14ac:dyDescent="0.2">
      <c r="B72" t="s">
        <v>91</v>
      </c>
      <c r="G72" s="176"/>
      <c r="H72" s="267"/>
      <c r="I72" s="268"/>
      <c r="J72" s="169"/>
    </row>
    <row r="73" spans="1:10" x14ac:dyDescent="0.2">
      <c r="B73" t="s">
        <v>92</v>
      </c>
      <c r="G73" s="158"/>
      <c r="H73" s="269"/>
      <c r="I73" s="270"/>
      <c r="J73" s="157"/>
    </row>
    <row r="74" spans="1:10" x14ac:dyDescent="0.2">
      <c r="B74" t="s">
        <v>93</v>
      </c>
      <c r="G74" s="158"/>
      <c r="H74" s="269"/>
      <c r="I74" s="270"/>
      <c r="J74" s="157"/>
    </row>
    <row r="75" spans="1:10" x14ac:dyDescent="0.2">
      <c r="B75" s="245" t="s">
        <v>94</v>
      </c>
      <c r="C75" s="245"/>
      <c r="D75" s="245"/>
      <c r="E75" s="245"/>
      <c r="F75" s="245"/>
      <c r="G75" s="162"/>
      <c r="H75" s="271"/>
      <c r="I75" s="272"/>
      <c r="J75" s="170"/>
    </row>
    <row r="76" spans="1:10" x14ac:dyDescent="0.2">
      <c r="B76" s="8" t="s">
        <v>95</v>
      </c>
      <c r="G76" s="139"/>
      <c r="H76" s="61"/>
      <c r="I76" s="62"/>
      <c r="J76" s="139"/>
    </row>
    <row r="77" spans="1:10" x14ac:dyDescent="0.2">
      <c r="B77" s="8"/>
      <c r="G77" s="9"/>
      <c r="H77" s="61"/>
      <c r="I77" s="62"/>
      <c r="J77" s="9"/>
    </row>
    <row r="78" spans="1:10" x14ac:dyDescent="0.2">
      <c r="B78" t="s">
        <v>96</v>
      </c>
      <c r="G78" s="176"/>
      <c r="H78" s="267"/>
      <c r="I78" s="270"/>
      <c r="J78" s="169"/>
    </row>
    <row r="79" spans="1:10" x14ac:dyDescent="0.2">
      <c r="B79" t="s">
        <v>97</v>
      </c>
      <c r="G79" s="158"/>
      <c r="H79" s="267"/>
      <c r="I79" s="268"/>
      <c r="J79" s="157"/>
    </row>
    <row r="80" spans="1:10" x14ac:dyDescent="0.2">
      <c r="B80" s="245" t="s">
        <v>98</v>
      </c>
      <c r="C80" s="245"/>
      <c r="D80" s="245"/>
      <c r="E80" s="245"/>
      <c r="F80" s="245"/>
      <c r="G80" s="162"/>
      <c r="H80" s="273"/>
      <c r="I80" s="272"/>
      <c r="J80" s="170"/>
    </row>
    <row r="81" spans="2:10" x14ac:dyDescent="0.2">
      <c r="B81" s="8" t="s">
        <v>99</v>
      </c>
      <c r="G81" s="139"/>
      <c r="H81" s="61"/>
      <c r="I81" s="62"/>
      <c r="J81" s="139"/>
    </row>
    <row r="82" spans="2:10" x14ac:dyDescent="0.2">
      <c r="G82" s="246"/>
      <c r="H82" s="274"/>
      <c r="I82" s="275"/>
      <c r="J82" s="246"/>
    </row>
    <row r="83" spans="2:10" x14ac:dyDescent="0.2">
      <c r="B83" t="s">
        <v>41</v>
      </c>
      <c r="G83" s="176"/>
      <c r="H83" s="269"/>
      <c r="I83" s="268"/>
      <c r="J83" s="169"/>
    </row>
    <row r="84" spans="2:10" x14ac:dyDescent="0.2">
      <c r="B84" t="s">
        <v>100</v>
      </c>
      <c r="G84" s="158"/>
      <c r="H84" s="269"/>
      <c r="I84" s="270"/>
      <c r="J84" s="157"/>
    </row>
    <row r="85" spans="2:10" x14ac:dyDescent="0.2">
      <c r="B85" t="s">
        <v>101</v>
      </c>
      <c r="G85" s="158"/>
      <c r="H85" s="269"/>
      <c r="I85" s="270"/>
      <c r="J85" s="157"/>
    </row>
    <row r="86" spans="2:10" x14ac:dyDescent="0.2">
      <c r="B86" s="245" t="s">
        <v>102</v>
      </c>
      <c r="C86" s="245"/>
      <c r="D86" s="245"/>
      <c r="E86" s="245"/>
      <c r="F86" s="245"/>
      <c r="G86" s="162"/>
      <c r="H86" s="271"/>
      <c r="I86" s="272"/>
      <c r="J86" s="170"/>
    </row>
    <row r="87" spans="2:10" x14ac:dyDescent="0.2">
      <c r="B87" s="8" t="s">
        <v>103</v>
      </c>
      <c r="G87" s="139"/>
      <c r="H87" s="61"/>
      <c r="I87" s="62"/>
      <c r="J87" s="139"/>
    </row>
    <row r="88" spans="2:10" x14ac:dyDescent="0.2">
      <c r="B88" s="8"/>
      <c r="G88" s="9"/>
      <c r="H88" s="61"/>
      <c r="I88" s="62"/>
      <c r="J88" s="9"/>
    </row>
    <row r="89" spans="2:10" x14ac:dyDescent="0.2">
      <c r="B89" t="s">
        <v>104</v>
      </c>
      <c r="G89" s="176"/>
      <c r="H89" s="267"/>
      <c r="I89" s="270"/>
      <c r="J89" s="169"/>
    </row>
    <row r="90" spans="2:10" x14ac:dyDescent="0.2">
      <c r="B90" t="s">
        <v>42</v>
      </c>
      <c r="G90" s="158"/>
      <c r="H90" s="269"/>
      <c r="I90" s="268"/>
      <c r="J90" s="157"/>
    </row>
    <row r="91" spans="2:10" x14ac:dyDescent="0.2">
      <c r="B91" t="s">
        <v>105</v>
      </c>
      <c r="G91" s="158"/>
      <c r="H91" s="267"/>
      <c r="I91" s="270"/>
      <c r="J91" s="157"/>
    </row>
    <row r="92" spans="2:10" x14ac:dyDescent="0.2">
      <c r="B92" s="245" t="s">
        <v>106</v>
      </c>
      <c r="C92" s="245"/>
      <c r="D92" s="245"/>
      <c r="E92" s="245"/>
      <c r="F92" s="245"/>
      <c r="G92" s="162"/>
      <c r="H92" s="271"/>
      <c r="I92" s="276"/>
      <c r="J92" s="170"/>
    </row>
    <row r="93" spans="2:10" x14ac:dyDescent="0.2">
      <c r="B93" s="8" t="s">
        <v>107</v>
      </c>
      <c r="G93" s="139"/>
      <c r="H93" s="61"/>
      <c r="I93" s="62"/>
      <c r="J93" s="139"/>
    </row>
    <row r="94" spans="2:10" x14ac:dyDescent="0.2">
      <c r="B94" s="8"/>
      <c r="G94" s="9"/>
      <c r="H94" s="61"/>
      <c r="I94" s="62"/>
      <c r="J94" s="9"/>
    </row>
    <row r="95" spans="2:10" x14ac:dyDescent="0.2">
      <c r="B95" s="245" t="s">
        <v>108</v>
      </c>
      <c r="C95" s="245"/>
      <c r="D95" s="245"/>
      <c r="E95" s="245"/>
      <c r="F95" s="245"/>
      <c r="G95" s="162"/>
      <c r="H95" s="273"/>
      <c r="I95" s="276"/>
      <c r="J95" s="170"/>
    </row>
    <row r="96" spans="2:10" x14ac:dyDescent="0.2">
      <c r="B96" s="8" t="s">
        <v>109</v>
      </c>
      <c r="G96" s="139"/>
      <c r="H96" s="63"/>
      <c r="I96" s="64"/>
      <c r="J96" s="139"/>
    </row>
    <row r="97" spans="1:10" x14ac:dyDescent="0.2">
      <c r="G97" s="246"/>
      <c r="H97" s="246"/>
      <c r="I97" s="246"/>
      <c r="J97" s="246"/>
    </row>
    <row r="98" spans="1:10" x14ac:dyDescent="0.2">
      <c r="B98" t="s">
        <v>110</v>
      </c>
      <c r="G98" s="157"/>
      <c r="H98" s="32"/>
      <c r="I98" s="32"/>
      <c r="J98" s="157"/>
    </row>
    <row r="99" spans="1:10" x14ac:dyDescent="0.2">
      <c r="G99" s="32"/>
      <c r="H99" s="32"/>
      <c r="I99" s="32"/>
      <c r="J99" s="32"/>
    </row>
    <row r="100" spans="1:10" x14ac:dyDescent="0.2">
      <c r="A100" t="s">
        <v>310</v>
      </c>
      <c r="B100" s="416" t="s">
        <v>111</v>
      </c>
      <c r="C100" s="421"/>
      <c r="D100" s="421"/>
      <c r="E100" s="421"/>
      <c r="F100" s="421"/>
      <c r="G100" s="424"/>
      <c r="H100" s="424"/>
      <c r="I100" s="424"/>
      <c r="J100" s="424"/>
    </row>
    <row r="102" spans="1:10" x14ac:dyDescent="0.2">
      <c r="B102" s="3" t="s">
        <v>112</v>
      </c>
      <c r="C102" s="3"/>
      <c r="D102" s="3"/>
      <c r="E102" s="53">
        <v>2020</v>
      </c>
      <c r="F102" s="65">
        <f>+E102+1</f>
        <v>2021</v>
      </c>
      <c r="G102" s="65">
        <f>+F102+1</f>
        <v>2022</v>
      </c>
      <c r="H102" s="65">
        <f>+G102+1</f>
        <v>2023</v>
      </c>
      <c r="I102" s="65">
        <f>+H102+1</f>
        <v>2024</v>
      </c>
      <c r="J102" s="65">
        <f>+I102+1</f>
        <v>2025</v>
      </c>
    </row>
    <row r="104" spans="1:10" x14ac:dyDescent="0.2">
      <c r="B104" s="8" t="s">
        <v>113</v>
      </c>
      <c r="E104" s="178"/>
      <c r="F104" s="263"/>
      <c r="G104" s="263"/>
      <c r="H104" s="263"/>
      <c r="I104" s="263"/>
      <c r="J104" s="263"/>
    </row>
    <row r="105" spans="1:10" x14ac:dyDescent="0.2">
      <c r="B105" s="251" t="s">
        <v>114</v>
      </c>
      <c r="E105" s="277"/>
      <c r="F105" s="277"/>
      <c r="G105" s="277"/>
      <c r="H105" s="277"/>
      <c r="I105" s="277"/>
      <c r="J105" s="277"/>
    </row>
    <row r="106" spans="1:10" x14ac:dyDescent="0.2">
      <c r="B106" s="251"/>
      <c r="E106" s="25"/>
      <c r="F106" s="278"/>
      <c r="G106" s="278"/>
      <c r="H106" s="278"/>
      <c r="I106" s="278"/>
      <c r="J106" s="278"/>
    </row>
    <row r="107" spans="1:10" x14ac:dyDescent="0.2">
      <c r="B107" s="245" t="s">
        <v>115</v>
      </c>
      <c r="C107" s="245"/>
      <c r="D107" s="245"/>
      <c r="E107" s="170"/>
      <c r="F107" s="279"/>
      <c r="G107" s="279"/>
      <c r="H107" s="279"/>
      <c r="I107" s="279"/>
      <c r="J107" s="279"/>
    </row>
    <row r="108" spans="1:10" x14ac:dyDescent="0.2">
      <c r="B108" s="8" t="s">
        <v>116</v>
      </c>
      <c r="C108" s="8"/>
      <c r="D108" s="8"/>
      <c r="E108" s="178"/>
      <c r="F108" s="171"/>
      <c r="G108" s="171"/>
      <c r="H108" s="171"/>
      <c r="I108" s="171"/>
      <c r="J108" s="171"/>
    </row>
    <row r="109" spans="1:10" x14ac:dyDescent="0.2">
      <c r="B109" s="251" t="s">
        <v>117</v>
      </c>
      <c r="E109" s="280"/>
      <c r="F109" s="280"/>
      <c r="G109" s="280"/>
      <c r="H109" s="280"/>
      <c r="I109" s="280"/>
      <c r="J109" s="280"/>
    </row>
    <row r="110" spans="1:10" x14ac:dyDescent="0.2">
      <c r="B110" s="251"/>
      <c r="E110" s="278"/>
      <c r="F110" s="278"/>
      <c r="G110" s="278"/>
      <c r="H110" s="278"/>
      <c r="I110" s="278"/>
      <c r="J110" s="278"/>
    </row>
    <row r="111" spans="1:10" x14ac:dyDescent="0.2">
      <c r="B111" t="s">
        <v>118</v>
      </c>
      <c r="E111" s="158"/>
      <c r="F111" s="264"/>
      <c r="G111" s="264"/>
      <c r="H111" s="264"/>
      <c r="I111" s="264"/>
      <c r="J111" s="264"/>
    </row>
    <row r="112" spans="1:10" x14ac:dyDescent="0.2">
      <c r="B112" s="245" t="s">
        <v>119</v>
      </c>
      <c r="C112" s="245"/>
      <c r="D112" s="245"/>
      <c r="E112" s="162"/>
      <c r="F112" s="279"/>
      <c r="G112" s="279"/>
      <c r="H112" s="279"/>
      <c r="I112" s="279"/>
      <c r="J112" s="279"/>
    </row>
    <row r="113" spans="2:10" x14ac:dyDescent="0.2">
      <c r="B113" s="8" t="s">
        <v>120</v>
      </c>
      <c r="C113" s="8"/>
      <c r="D113" s="8"/>
      <c r="E113" s="171"/>
      <c r="F113" s="171"/>
      <c r="G113" s="171"/>
      <c r="H113" s="171"/>
      <c r="I113" s="171"/>
      <c r="J113" s="171"/>
    </row>
    <row r="114" spans="2:10" x14ac:dyDescent="0.2">
      <c r="B114" s="251" t="s">
        <v>121</v>
      </c>
      <c r="E114" s="280"/>
      <c r="F114" s="280"/>
      <c r="G114" s="280"/>
      <c r="H114" s="280"/>
      <c r="I114" s="280"/>
      <c r="J114" s="280"/>
    </row>
    <row r="115" spans="2:10" x14ac:dyDescent="0.2">
      <c r="B115" s="8"/>
      <c r="D115" s="67"/>
      <c r="E115" s="25"/>
      <c r="F115" s="278"/>
      <c r="G115" s="278"/>
      <c r="H115" s="278"/>
      <c r="I115" s="278"/>
      <c r="J115" s="278"/>
    </row>
    <row r="116" spans="2:10" x14ac:dyDescent="0.2">
      <c r="B116" t="s">
        <v>122</v>
      </c>
      <c r="D116" s="179"/>
      <c r="F116" s="278"/>
      <c r="G116" s="278"/>
      <c r="H116" s="278"/>
      <c r="I116" s="278"/>
      <c r="J116" s="278"/>
    </row>
    <row r="117" spans="2:10" x14ac:dyDescent="0.2">
      <c r="B117" t="s">
        <v>123</v>
      </c>
      <c r="D117" s="281"/>
      <c r="F117" s="278"/>
      <c r="G117" s="278"/>
      <c r="H117" s="278"/>
      <c r="I117" s="278"/>
      <c r="J117" s="278"/>
    </row>
    <row r="118" spans="2:10" x14ac:dyDescent="0.2">
      <c r="D118" s="282"/>
      <c r="F118" s="278"/>
      <c r="G118" s="278"/>
      <c r="H118" s="278"/>
      <c r="I118" s="278"/>
      <c r="J118" s="278"/>
    </row>
    <row r="119" spans="2:10" x14ac:dyDescent="0.2">
      <c r="B119" s="69" t="s">
        <v>124</v>
      </c>
      <c r="C119" s="69"/>
      <c r="D119" s="283"/>
      <c r="E119" s="70"/>
      <c r="F119" s="71"/>
      <c r="G119" s="71"/>
      <c r="H119" s="71"/>
      <c r="I119" s="71"/>
      <c r="J119" s="71"/>
    </row>
    <row r="120" spans="2:10" x14ac:dyDescent="0.2">
      <c r="B120" s="72"/>
      <c r="C120" s="72"/>
      <c r="E120" s="66"/>
      <c r="F120" s="48"/>
      <c r="G120" s="48"/>
      <c r="H120" s="48"/>
      <c r="I120" s="48"/>
      <c r="J120" s="48"/>
    </row>
    <row r="121" spans="2:10" x14ac:dyDescent="0.2">
      <c r="B121" t="s">
        <v>125</v>
      </c>
      <c r="E121" s="158"/>
      <c r="F121" s="264"/>
      <c r="G121" s="264"/>
      <c r="H121" s="264"/>
      <c r="I121" s="264"/>
      <c r="J121" s="264"/>
    </row>
    <row r="122" spans="2:10" x14ac:dyDescent="0.2">
      <c r="B122" s="251" t="s">
        <v>126</v>
      </c>
      <c r="E122" s="284"/>
      <c r="F122" s="264"/>
      <c r="G122" s="264"/>
      <c r="H122" s="264"/>
      <c r="I122" s="264"/>
      <c r="J122" s="264"/>
    </row>
    <row r="123" spans="2:10" x14ac:dyDescent="0.2">
      <c r="B123" s="251"/>
      <c r="E123" s="25"/>
      <c r="F123" s="278"/>
      <c r="G123" s="278"/>
      <c r="H123" s="278"/>
      <c r="I123" s="278"/>
      <c r="J123" s="278"/>
    </row>
    <row r="124" spans="2:10" x14ac:dyDescent="0.2">
      <c r="B124" t="s">
        <v>127</v>
      </c>
      <c r="E124" s="285"/>
      <c r="F124" s="285"/>
      <c r="G124" s="285"/>
      <c r="H124" s="285"/>
      <c r="I124" s="285"/>
      <c r="J124" s="285"/>
    </row>
    <row r="125" spans="2:10" x14ac:dyDescent="0.2">
      <c r="B125" s="251" t="s">
        <v>114</v>
      </c>
      <c r="E125" s="277"/>
      <c r="F125" s="277"/>
      <c r="G125" s="280"/>
      <c r="H125" s="280"/>
      <c r="I125" s="280"/>
      <c r="J125" s="280"/>
    </row>
    <row r="126" spans="2:10" x14ac:dyDescent="0.2">
      <c r="B126" s="251"/>
      <c r="E126" s="286"/>
      <c r="F126" s="278"/>
      <c r="G126" s="278"/>
      <c r="H126" s="278"/>
      <c r="I126" s="278"/>
      <c r="J126" s="278"/>
    </row>
    <row r="127" spans="2:10" x14ac:dyDescent="0.2">
      <c r="B127" t="s">
        <v>128</v>
      </c>
      <c r="E127" s="158"/>
      <c r="F127" s="264"/>
      <c r="G127" s="264"/>
      <c r="H127" s="264"/>
      <c r="I127" s="264"/>
      <c r="J127" s="264"/>
    </row>
    <row r="128" spans="2:10" x14ac:dyDescent="0.2">
      <c r="B128" s="251" t="s">
        <v>129</v>
      </c>
      <c r="E128" s="287"/>
      <c r="F128" s="264"/>
      <c r="G128" s="264"/>
      <c r="H128" s="264"/>
      <c r="I128" s="264"/>
      <c r="J128" s="264"/>
    </row>
    <row r="129" spans="2:10" x14ac:dyDescent="0.2">
      <c r="E129" s="288"/>
    </row>
    <row r="130" spans="2:10" x14ac:dyDescent="0.2">
      <c r="B130" t="s">
        <v>130</v>
      </c>
      <c r="E130" s="285"/>
      <c r="F130" s="285"/>
      <c r="G130" s="285"/>
      <c r="H130" s="285"/>
      <c r="I130" s="285"/>
      <c r="J130" s="285"/>
    </row>
    <row r="131" spans="2:10" x14ac:dyDescent="0.2">
      <c r="B131" s="251" t="s">
        <v>131</v>
      </c>
      <c r="E131" s="289"/>
      <c r="F131" s="289"/>
      <c r="G131" s="289"/>
      <c r="H131" s="289"/>
      <c r="I131" s="289"/>
      <c r="J131" s="289"/>
    </row>
    <row r="133" spans="2:10" x14ac:dyDescent="0.2">
      <c r="B133" s="247" t="s">
        <v>126</v>
      </c>
      <c r="C133" s="248"/>
      <c r="D133" s="248"/>
      <c r="E133" s="290"/>
      <c r="F133" s="291"/>
      <c r="G133" s="291"/>
      <c r="H133" s="291"/>
      <c r="I133" s="291"/>
      <c r="J133" s="292"/>
    </row>
    <row r="134" spans="2:10" x14ac:dyDescent="0.2">
      <c r="B134" s="251" t="s">
        <v>132</v>
      </c>
      <c r="F134" s="158"/>
      <c r="G134" s="158"/>
      <c r="H134" s="158"/>
      <c r="I134" s="158"/>
      <c r="J134" s="158"/>
    </row>
    <row r="135" spans="2:10" x14ac:dyDescent="0.2">
      <c r="B135" s="251" t="s">
        <v>133</v>
      </c>
      <c r="F135" s="158"/>
      <c r="G135" s="158"/>
      <c r="H135" s="158"/>
      <c r="I135" s="158"/>
      <c r="J135" s="158"/>
    </row>
    <row r="136" spans="2:10" x14ac:dyDescent="0.2">
      <c r="B136" s="251" t="s">
        <v>134</v>
      </c>
      <c r="F136" s="158"/>
      <c r="G136" s="158"/>
      <c r="H136" s="158"/>
      <c r="I136" s="158"/>
      <c r="J136" s="158"/>
    </row>
    <row r="137" spans="2:10" x14ac:dyDescent="0.2">
      <c r="F137" s="246"/>
      <c r="G137" s="246"/>
      <c r="H137" s="246"/>
      <c r="I137" s="246"/>
      <c r="J137" s="246"/>
    </row>
    <row r="138" spans="2:10" x14ac:dyDescent="0.2">
      <c r="B138" s="247" t="s">
        <v>135</v>
      </c>
      <c r="C138" s="248"/>
      <c r="D138" s="248"/>
      <c r="E138" s="290"/>
      <c r="F138" s="291"/>
      <c r="G138" s="291"/>
      <c r="H138" s="291"/>
      <c r="I138" s="291"/>
      <c r="J138" s="292"/>
    </row>
    <row r="139" spans="2:10" x14ac:dyDescent="0.2">
      <c r="B139" s="251" t="s">
        <v>132</v>
      </c>
      <c r="F139" s="158"/>
      <c r="G139" s="158"/>
      <c r="H139" s="158"/>
      <c r="I139" s="158"/>
      <c r="J139" s="158"/>
    </row>
    <row r="140" spans="2:10" x14ac:dyDescent="0.2">
      <c r="B140" s="251" t="s">
        <v>133</v>
      </c>
      <c r="F140" s="158"/>
      <c r="G140" s="158"/>
      <c r="H140" s="158"/>
      <c r="I140" s="158"/>
      <c r="J140" s="158"/>
    </row>
    <row r="141" spans="2:10" x14ac:dyDescent="0.2">
      <c r="B141" s="251" t="s">
        <v>134</v>
      </c>
      <c r="F141" s="158"/>
      <c r="G141" s="158"/>
      <c r="H141" s="158"/>
      <c r="I141" s="158"/>
      <c r="J141" s="158"/>
    </row>
    <row r="142" spans="2:10" x14ac:dyDescent="0.2">
      <c r="E142" s="73"/>
      <c r="F142" s="73"/>
      <c r="G142" s="73"/>
      <c r="H142" s="73"/>
      <c r="I142" s="73"/>
      <c r="J142" s="73"/>
    </row>
    <row r="143" spans="2:10" x14ac:dyDescent="0.2">
      <c r="B143" s="247" t="s">
        <v>131</v>
      </c>
      <c r="C143" s="248"/>
      <c r="D143" s="248"/>
      <c r="E143" s="290"/>
      <c r="F143" s="293"/>
      <c r="G143" s="293"/>
      <c r="H143" s="293"/>
      <c r="I143" s="293"/>
      <c r="J143" s="294"/>
    </row>
    <row r="144" spans="2:10" x14ac:dyDescent="0.2">
      <c r="B144" s="251" t="s">
        <v>132</v>
      </c>
      <c r="E144" s="73"/>
      <c r="F144" s="204"/>
      <c r="G144" s="204"/>
      <c r="H144" s="204"/>
      <c r="I144" s="204"/>
      <c r="J144" s="204"/>
    </row>
    <row r="145" spans="2:10" x14ac:dyDescent="0.2">
      <c r="B145" s="251" t="s">
        <v>133</v>
      </c>
      <c r="E145" s="73"/>
      <c r="F145" s="204"/>
      <c r="G145" s="204"/>
      <c r="H145" s="204"/>
      <c r="I145" s="204"/>
      <c r="J145" s="204"/>
    </row>
    <row r="146" spans="2:10" x14ac:dyDescent="0.2">
      <c r="B146" s="251" t="s">
        <v>134</v>
      </c>
      <c r="E146" s="73"/>
      <c r="F146" s="204"/>
      <c r="G146" s="204"/>
      <c r="H146" s="204"/>
      <c r="I146" s="204"/>
      <c r="J146" s="204"/>
    </row>
    <row r="147" spans="2:10" x14ac:dyDescent="0.2">
      <c r="E147" s="73"/>
      <c r="F147" s="31"/>
      <c r="G147" s="31"/>
      <c r="H147" s="31"/>
      <c r="I147" s="31"/>
      <c r="J147" s="31"/>
    </row>
    <row r="148" spans="2:10" x14ac:dyDescent="0.2">
      <c r="B148" s="247" t="s">
        <v>117</v>
      </c>
      <c r="C148" s="248"/>
      <c r="D148" s="248"/>
      <c r="E148" s="295"/>
      <c r="F148" s="290"/>
      <c r="G148" s="290"/>
      <c r="H148" s="290"/>
      <c r="I148" s="290"/>
      <c r="J148" s="296"/>
    </row>
    <row r="149" spans="2:10" x14ac:dyDescent="0.2">
      <c r="B149" s="251" t="s">
        <v>132</v>
      </c>
      <c r="C149" s="251"/>
      <c r="E149" s="73"/>
      <c r="F149" s="156"/>
      <c r="G149" s="156"/>
      <c r="H149" s="156"/>
      <c r="I149" s="156"/>
      <c r="J149" s="156"/>
    </row>
    <row r="150" spans="2:10" x14ac:dyDescent="0.2">
      <c r="B150" s="251" t="s">
        <v>133</v>
      </c>
      <c r="C150" s="251"/>
      <c r="E150" s="73"/>
      <c r="F150" s="156"/>
      <c r="G150" s="156"/>
      <c r="H150" s="156"/>
      <c r="I150" s="156"/>
      <c r="J150" s="156"/>
    </row>
    <row r="151" spans="2:10" x14ac:dyDescent="0.2">
      <c r="B151" s="251" t="s">
        <v>134</v>
      </c>
      <c r="C151" s="251"/>
      <c r="E151" s="73"/>
      <c r="F151" s="156"/>
      <c r="G151" s="156"/>
      <c r="H151" s="156"/>
      <c r="I151" s="156"/>
      <c r="J151" s="156"/>
    </row>
    <row r="152" spans="2:10" x14ac:dyDescent="0.2">
      <c r="E152" s="73"/>
      <c r="F152" s="31"/>
      <c r="G152" s="31"/>
      <c r="H152" s="31"/>
      <c r="I152" s="31"/>
      <c r="J152" s="31"/>
    </row>
    <row r="153" spans="2:10" x14ac:dyDescent="0.2">
      <c r="B153" s="247" t="s">
        <v>136</v>
      </c>
      <c r="C153" s="248"/>
      <c r="D153" s="248"/>
      <c r="E153" s="295"/>
      <c r="F153" s="290"/>
      <c r="G153" s="290"/>
      <c r="H153" s="290"/>
      <c r="I153" s="290"/>
      <c r="J153" s="296"/>
    </row>
    <row r="154" spans="2:10" x14ac:dyDescent="0.2">
      <c r="B154" s="251" t="s">
        <v>132</v>
      </c>
      <c r="C154" s="251"/>
      <c r="E154" s="73"/>
      <c r="F154" s="156"/>
      <c r="G154" s="156"/>
      <c r="H154" s="156"/>
      <c r="I154" s="156"/>
      <c r="J154" s="156"/>
    </row>
    <row r="155" spans="2:10" x14ac:dyDescent="0.2">
      <c r="B155" s="251" t="s">
        <v>133</v>
      </c>
      <c r="C155" s="251"/>
      <c r="E155" s="73"/>
      <c r="F155" s="156"/>
      <c r="G155" s="156"/>
      <c r="H155" s="156"/>
      <c r="I155" s="156"/>
      <c r="J155" s="156"/>
    </row>
    <row r="156" spans="2:10" x14ac:dyDescent="0.2">
      <c r="B156" s="251" t="s">
        <v>134</v>
      </c>
      <c r="C156" s="251"/>
      <c r="E156" s="73"/>
      <c r="F156" s="156"/>
      <c r="G156" s="156"/>
      <c r="H156" s="156"/>
      <c r="I156" s="156"/>
      <c r="J156" s="156"/>
    </row>
    <row r="157" spans="2:10" x14ac:dyDescent="0.2">
      <c r="B157" s="251"/>
      <c r="C157" s="251"/>
      <c r="E157" s="73"/>
      <c r="F157" s="31"/>
      <c r="G157" s="31"/>
      <c r="H157" s="31"/>
      <c r="I157" s="31"/>
      <c r="J157" s="31"/>
    </row>
    <row r="158" spans="2:10" x14ac:dyDescent="0.2">
      <c r="B158" s="247" t="s">
        <v>137</v>
      </c>
      <c r="C158" s="248"/>
      <c r="D158" s="248"/>
      <c r="E158" s="290"/>
      <c r="F158" s="290"/>
      <c r="G158" s="290"/>
      <c r="H158" s="290"/>
      <c r="I158" s="290"/>
      <c r="J158" s="296"/>
    </row>
    <row r="159" spans="2:10" x14ac:dyDescent="0.2">
      <c r="B159" s="251" t="s">
        <v>132</v>
      </c>
      <c r="C159" s="251"/>
      <c r="E159" s="73"/>
      <c r="F159" s="156"/>
      <c r="G159" s="156"/>
      <c r="H159" s="156"/>
      <c r="I159" s="156"/>
      <c r="J159" s="156"/>
    </row>
    <row r="160" spans="2:10" x14ac:dyDescent="0.2">
      <c r="B160" s="251" t="s">
        <v>133</v>
      </c>
      <c r="C160" s="251"/>
      <c r="E160" s="73"/>
      <c r="F160" s="156"/>
      <c r="G160" s="156"/>
      <c r="H160" s="156"/>
      <c r="I160" s="156"/>
      <c r="J160" s="156"/>
    </row>
    <row r="161" spans="1:10" x14ac:dyDescent="0.2">
      <c r="B161" s="251" t="s">
        <v>134</v>
      </c>
      <c r="C161" s="251"/>
      <c r="E161" s="73"/>
      <c r="F161" s="156"/>
      <c r="G161" s="156"/>
      <c r="H161" s="156"/>
      <c r="I161" s="156"/>
      <c r="J161" s="156"/>
    </row>
    <row r="163" spans="1:10" x14ac:dyDescent="0.2">
      <c r="B163" s="358" t="s">
        <v>138</v>
      </c>
      <c r="C163" s="358"/>
      <c r="D163" s="358"/>
      <c r="E163" s="358"/>
      <c r="F163" s="358"/>
      <c r="G163" s="358"/>
      <c r="H163" s="358"/>
      <c r="I163" s="358"/>
      <c r="J163" s="358"/>
    </row>
    <row r="164" spans="1:10" x14ac:dyDescent="0.2">
      <c r="E164" s="246"/>
      <c r="F164" s="266"/>
      <c r="G164" s="266"/>
      <c r="H164" s="266"/>
      <c r="I164" s="266"/>
      <c r="J164" s="266"/>
    </row>
    <row r="165" spans="1:10" x14ac:dyDescent="0.2">
      <c r="B165" t="s">
        <v>139</v>
      </c>
      <c r="F165" s="297"/>
      <c r="G165" s="297"/>
      <c r="H165" s="297"/>
      <c r="I165" s="297"/>
      <c r="J165" s="297"/>
    </row>
    <row r="166" spans="1:10" x14ac:dyDescent="0.2">
      <c r="F166" s="298"/>
      <c r="G166" s="298"/>
      <c r="H166" s="298"/>
      <c r="I166" s="298"/>
      <c r="J166" s="298"/>
    </row>
    <row r="167" spans="1:10" x14ac:dyDescent="0.2">
      <c r="B167" t="s">
        <v>140</v>
      </c>
      <c r="E167" s="246"/>
      <c r="F167" s="299"/>
      <c r="G167" s="299"/>
      <c r="H167" s="299"/>
      <c r="I167" s="299"/>
      <c r="J167" s="299"/>
    </row>
    <row r="168" spans="1:10" x14ac:dyDescent="0.2">
      <c r="B168" t="s">
        <v>141</v>
      </c>
      <c r="E168" s="246"/>
      <c r="F168" s="263"/>
      <c r="G168" s="263"/>
      <c r="H168" s="263"/>
      <c r="I168" s="263"/>
      <c r="J168" s="263"/>
    </row>
    <row r="169" spans="1:10" x14ac:dyDescent="0.2">
      <c r="E169" s="246"/>
      <c r="F169" s="74"/>
      <c r="G169" s="74"/>
      <c r="H169" s="74"/>
      <c r="I169" s="74"/>
      <c r="J169" s="74"/>
    </row>
    <row r="170" spans="1:10" x14ac:dyDescent="0.2">
      <c r="A170" t="s">
        <v>310</v>
      </c>
      <c r="B170" s="416" t="s">
        <v>142</v>
      </c>
      <c r="C170" s="421"/>
      <c r="D170" s="421"/>
      <c r="E170" s="425"/>
      <c r="F170" s="425"/>
      <c r="G170" s="425"/>
      <c r="H170" s="425"/>
      <c r="I170" s="425"/>
      <c r="J170" s="425"/>
    </row>
    <row r="172" spans="1:10" x14ac:dyDescent="0.2">
      <c r="B172" s="3" t="s">
        <v>143</v>
      </c>
      <c r="C172" s="3"/>
      <c r="D172" s="3"/>
      <c r="E172" s="53">
        <v>2020</v>
      </c>
      <c r="F172" s="65">
        <f>+E172+1</f>
        <v>2021</v>
      </c>
      <c r="G172" s="65">
        <f>+F172+1</f>
        <v>2022</v>
      </c>
      <c r="H172" s="65">
        <f>+G172+1</f>
        <v>2023</v>
      </c>
      <c r="I172" s="65">
        <f>+H172+1</f>
        <v>2024</v>
      </c>
      <c r="J172" s="65">
        <f>+I172+1</f>
        <v>2025</v>
      </c>
    </row>
    <row r="174" spans="1:10" x14ac:dyDescent="0.2">
      <c r="B174" t="s">
        <v>144</v>
      </c>
      <c r="E174" s="176"/>
      <c r="F174" s="169"/>
      <c r="G174" s="169"/>
      <c r="H174" s="169"/>
      <c r="I174" s="169"/>
      <c r="J174" s="169"/>
    </row>
    <row r="175" spans="1:10" x14ac:dyDescent="0.2">
      <c r="B175" s="245" t="s">
        <v>145</v>
      </c>
      <c r="C175" s="245"/>
      <c r="D175" s="245"/>
      <c r="E175" s="162"/>
      <c r="F175" s="170"/>
      <c r="G175" s="170"/>
      <c r="H175" s="170"/>
      <c r="I175" s="170"/>
      <c r="J175" s="170"/>
    </row>
    <row r="176" spans="1:10" x14ac:dyDescent="0.2">
      <c r="B176" s="8" t="s">
        <v>146</v>
      </c>
      <c r="C176" s="8"/>
      <c r="D176" s="8"/>
      <c r="E176" s="139"/>
      <c r="F176" s="139"/>
      <c r="G176" s="139"/>
      <c r="H176" s="139"/>
      <c r="I176" s="139"/>
      <c r="J176" s="139"/>
    </row>
    <row r="177" spans="2:10" x14ac:dyDescent="0.2">
      <c r="B177" s="251" t="s">
        <v>147</v>
      </c>
      <c r="E177" s="277"/>
      <c r="F177" s="277"/>
      <c r="G177" s="277"/>
      <c r="H177" s="277"/>
      <c r="I177" s="277"/>
      <c r="J177" s="277"/>
    </row>
    <row r="178" spans="2:10" x14ac:dyDescent="0.2">
      <c r="E178" s="33"/>
      <c r="F178" s="32"/>
      <c r="G178" s="32"/>
      <c r="H178" s="32"/>
      <c r="I178" s="32"/>
      <c r="J178" s="32"/>
    </row>
    <row r="179" spans="2:10" x14ac:dyDescent="0.2">
      <c r="B179" t="s">
        <v>148</v>
      </c>
      <c r="E179" s="158"/>
      <c r="F179" s="157"/>
      <c r="G179" s="157"/>
      <c r="H179" s="157"/>
      <c r="I179" s="157"/>
      <c r="J179" s="157"/>
    </row>
    <row r="180" spans="2:10" x14ac:dyDescent="0.2">
      <c r="B180" s="245" t="s">
        <v>149</v>
      </c>
      <c r="C180" s="245"/>
      <c r="D180" s="245"/>
      <c r="E180" s="162"/>
      <c r="F180" s="170"/>
      <c r="G180" s="170"/>
      <c r="H180" s="170"/>
      <c r="I180" s="170"/>
      <c r="J180" s="170"/>
    </row>
    <row r="181" spans="2:10" x14ac:dyDescent="0.2">
      <c r="B181" s="8" t="s">
        <v>116</v>
      </c>
      <c r="C181" s="8"/>
      <c r="D181" s="8"/>
      <c r="E181" s="139"/>
      <c r="F181" s="139"/>
      <c r="G181" s="139"/>
      <c r="H181" s="139"/>
      <c r="I181" s="139"/>
      <c r="J181" s="139"/>
    </row>
    <row r="182" spans="2:10" x14ac:dyDescent="0.2">
      <c r="B182" s="251" t="s">
        <v>150</v>
      </c>
      <c r="E182" s="201"/>
      <c r="F182" s="201"/>
      <c r="G182" s="201"/>
      <c r="H182" s="201"/>
      <c r="I182" s="201"/>
      <c r="J182" s="201"/>
    </row>
    <row r="183" spans="2:10" x14ac:dyDescent="0.2">
      <c r="B183" s="8"/>
      <c r="C183" s="8"/>
      <c r="D183" s="8"/>
      <c r="E183" s="11"/>
      <c r="F183" s="11"/>
      <c r="G183" s="11"/>
      <c r="H183" s="11"/>
      <c r="I183" s="11"/>
      <c r="J183" s="11"/>
    </row>
    <row r="184" spans="2:10" x14ac:dyDescent="0.2">
      <c r="B184" t="s">
        <v>151</v>
      </c>
      <c r="E184" s="158"/>
      <c r="F184" s="157"/>
      <c r="G184" s="157"/>
      <c r="H184" s="157"/>
      <c r="I184" s="157"/>
      <c r="J184" s="157"/>
    </row>
    <row r="185" spans="2:10" x14ac:dyDescent="0.2">
      <c r="B185" t="s">
        <v>152</v>
      </c>
      <c r="E185" s="158"/>
      <c r="F185" s="157"/>
      <c r="G185" s="157"/>
      <c r="H185" s="157"/>
      <c r="I185" s="157"/>
      <c r="J185" s="157"/>
    </row>
    <row r="186" spans="2:10" x14ac:dyDescent="0.2">
      <c r="B186" t="s">
        <v>153</v>
      </c>
      <c r="E186" s="158"/>
      <c r="F186" s="157"/>
      <c r="G186" s="157"/>
      <c r="H186" s="157"/>
      <c r="I186" s="157"/>
      <c r="J186" s="157"/>
    </row>
    <row r="187" spans="2:10" x14ac:dyDescent="0.2">
      <c r="B187" t="s">
        <v>154</v>
      </c>
      <c r="E187" s="158"/>
      <c r="F187" s="157"/>
      <c r="G187" s="157"/>
      <c r="H187" s="157"/>
      <c r="I187" s="157"/>
      <c r="J187" s="157"/>
    </row>
    <row r="188" spans="2:10" x14ac:dyDescent="0.2">
      <c r="B188" s="75" t="s">
        <v>120</v>
      </c>
      <c r="C188" s="75"/>
      <c r="D188" s="75"/>
      <c r="E188" s="180"/>
      <c r="F188" s="180"/>
      <c r="G188" s="180"/>
      <c r="H188" s="180"/>
      <c r="I188" s="180"/>
      <c r="J188" s="180"/>
    </row>
    <row r="189" spans="2:10" x14ac:dyDescent="0.2">
      <c r="B189" s="245" t="s">
        <v>155</v>
      </c>
      <c r="C189" s="245"/>
      <c r="D189" s="245"/>
      <c r="E189" s="181"/>
      <c r="F189" s="170"/>
      <c r="G189" s="170"/>
      <c r="H189" s="170"/>
      <c r="I189" s="170"/>
      <c r="J189" s="170"/>
    </row>
    <row r="190" spans="2:10" x14ac:dyDescent="0.2">
      <c r="B190" s="8" t="s">
        <v>156</v>
      </c>
      <c r="C190" s="8"/>
      <c r="D190" s="8"/>
      <c r="E190" s="139"/>
      <c r="F190" s="139"/>
      <c r="G190" s="139"/>
      <c r="H190" s="139"/>
      <c r="I190" s="139"/>
      <c r="J190" s="139"/>
    </row>
    <row r="191" spans="2:10" x14ac:dyDescent="0.2">
      <c r="B191" s="251" t="s">
        <v>157</v>
      </c>
      <c r="C191" s="8"/>
      <c r="D191" s="8"/>
      <c r="E191" s="201"/>
      <c r="F191" s="201"/>
      <c r="G191" s="201"/>
      <c r="H191" s="201"/>
      <c r="I191" s="201"/>
      <c r="J191" s="201"/>
    </row>
    <row r="192" spans="2:10" x14ac:dyDescent="0.2">
      <c r="B192" s="8"/>
      <c r="C192" s="8"/>
      <c r="D192" s="8"/>
      <c r="E192" s="11"/>
      <c r="F192" s="11"/>
      <c r="G192" s="11"/>
      <c r="H192" s="11"/>
      <c r="I192" s="11"/>
      <c r="J192" s="11"/>
    </row>
    <row r="193" spans="2:10" x14ac:dyDescent="0.2">
      <c r="B193" t="s">
        <v>158</v>
      </c>
      <c r="E193" s="158"/>
      <c r="F193" s="157"/>
      <c r="G193" s="157"/>
      <c r="H193" s="157"/>
      <c r="I193" s="157"/>
      <c r="J193" s="157"/>
    </row>
    <row r="194" spans="2:10" x14ac:dyDescent="0.2">
      <c r="B194" t="s">
        <v>159</v>
      </c>
      <c r="E194" s="158"/>
      <c r="F194" s="157"/>
      <c r="G194" s="157"/>
      <c r="H194" s="157"/>
      <c r="I194" s="157"/>
      <c r="J194" s="157"/>
    </row>
    <row r="195" spans="2:10" x14ac:dyDescent="0.2">
      <c r="B195" t="s">
        <v>299</v>
      </c>
      <c r="E195" s="158"/>
      <c r="F195" s="157"/>
      <c r="G195" s="157"/>
      <c r="H195" s="157"/>
      <c r="I195" s="157"/>
      <c r="J195" s="157"/>
    </row>
    <row r="196" spans="2:10" x14ac:dyDescent="0.2">
      <c r="B196" s="245" t="s">
        <v>161</v>
      </c>
      <c r="C196" s="245"/>
      <c r="D196" s="245"/>
      <c r="E196" s="182"/>
      <c r="F196" s="170"/>
      <c r="G196" s="170"/>
      <c r="H196" s="170"/>
      <c r="I196" s="170"/>
      <c r="J196" s="170"/>
    </row>
    <row r="197" spans="2:10" x14ac:dyDescent="0.2">
      <c r="B197" s="8" t="s">
        <v>162</v>
      </c>
      <c r="C197" s="8"/>
      <c r="D197" s="8"/>
      <c r="E197" s="139"/>
      <c r="F197" s="139"/>
      <c r="G197" s="139"/>
      <c r="H197" s="139"/>
      <c r="I197" s="139"/>
      <c r="J197" s="139"/>
    </row>
    <row r="198" spans="2:10" x14ac:dyDescent="0.2">
      <c r="B198" s="251" t="s">
        <v>163</v>
      </c>
      <c r="C198" s="8"/>
      <c r="D198" s="8"/>
      <c r="E198" s="201"/>
      <c r="F198" s="201"/>
      <c r="G198" s="201"/>
      <c r="H198" s="201"/>
      <c r="I198" s="201"/>
      <c r="J198" s="201"/>
    </row>
    <row r="199" spans="2:10" x14ac:dyDescent="0.2">
      <c r="B199" s="8"/>
      <c r="C199" s="8"/>
      <c r="D199" s="8"/>
      <c r="E199" s="11"/>
      <c r="F199" s="11"/>
      <c r="G199" s="11"/>
      <c r="H199" s="11"/>
      <c r="I199" s="11"/>
      <c r="J199" s="11"/>
    </row>
    <row r="200" spans="2:10" x14ac:dyDescent="0.2">
      <c r="B200" t="s">
        <v>164</v>
      </c>
      <c r="E200" s="158"/>
      <c r="F200" s="157"/>
      <c r="G200" s="157"/>
      <c r="H200" s="157"/>
      <c r="I200" s="157"/>
      <c r="J200" s="157"/>
    </row>
    <row r="201" spans="2:10" x14ac:dyDescent="0.2">
      <c r="B201" s="245" t="s">
        <v>165</v>
      </c>
      <c r="C201" s="245"/>
      <c r="D201" s="245"/>
      <c r="E201" s="162"/>
      <c r="F201" s="170"/>
      <c r="G201" s="170"/>
      <c r="H201" s="170"/>
      <c r="I201" s="170"/>
      <c r="J201" s="170"/>
    </row>
    <row r="202" spans="2:10" x14ac:dyDescent="0.2">
      <c r="B202" s="8" t="s">
        <v>166</v>
      </c>
      <c r="C202" s="8"/>
      <c r="D202" s="8"/>
      <c r="E202" s="139"/>
      <c r="F202" s="139"/>
      <c r="G202" s="139"/>
      <c r="H202" s="139"/>
      <c r="I202" s="139"/>
      <c r="J202" s="139"/>
    </row>
    <row r="203" spans="2:10" x14ac:dyDescent="0.2">
      <c r="B203" t="s">
        <v>167</v>
      </c>
      <c r="E203" s="158"/>
      <c r="F203" s="157"/>
      <c r="G203" s="157"/>
      <c r="H203" s="157"/>
      <c r="I203" s="157"/>
      <c r="J203" s="157"/>
    </row>
    <row r="204" spans="2:10" x14ac:dyDescent="0.2">
      <c r="B204" s="75" t="s">
        <v>168</v>
      </c>
      <c r="C204" s="75"/>
      <c r="D204" s="75"/>
      <c r="E204" s="180"/>
      <c r="F204" s="180"/>
      <c r="G204" s="180"/>
      <c r="H204" s="180"/>
      <c r="I204" s="180"/>
      <c r="J204" s="180"/>
    </row>
    <row r="205" spans="2:10" x14ac:dyDescent="0.2">
      <c r="B205" t="s">
        <v>169</v>
      </c>
      <c r="E205" s="300"/>
      <c r="F205" s="157"/>
      <c r="G205" s="157"/>
      <c r="H205" s="157"/>
      <c r="I205" s="157"/>
      <c r="J205" s="157"/>
    </row>
    <row r="206" spans="2:10" x14ac:dyDescent="0.2">
      <c r="B206" t="s">
        <v>170</v>
      </c>
      <c r="E206" s="300"/>
      <c r="F206" s="157"/>
      <c r="G206" s="157"/>
      <c r="H206" s="157"/>
      <c r="I206" s="157"/>
      <c r="J206" s="157"/>
    </row>
    <row r="207" spans="2:10" x14ac:dyDescent="0.2">
      <c r="B207" t="s">
        <v>171</v>
      </c>
      <c r="E207" s="300"/>
      <c r="F207" s="157"/>
      <c r="G207" s="157"/>
      <c r="H207" s="157"/>
      <c r="I207" s="157"/>
      <c r="J207" s="157"/>
    </row>
    <row r="208" spans="2:10" x14ac:dyDescent="0.2">
      <c r="B208" t="s">
        <v>160</v>
      </c>
      <c r="E208" s="300"/>
      <c r="F208" s="157"/>
      <c r="G208" s="157"/>
      <c r="H208" s="157"/>
      <c r="I208" s="157"/>
      <c r="J208" s="157"/>
    </row>
    <row r="209" spans="2:10" x14ac:dyDescent="0.2">
      <c r="B209" t="s">
        <v>172</v>
      </c>
      <c r="E209" s="300"/>
      <c r="F209" s="157"/>
      <c r="G209" s="157"/>
      <c r="H209" s="157"/>
      <c r="I209" s="157"/>
      <c r="J209" s="157"/>
    </row>
    <row r="210" spans="2:10" x14ac:dyDescent="0.2">
      <c r="B210" t="s">
        <v>173</v>
      </c>
      <c r="E210" s="300"/>
      <c r="F210" s="157"/>
      <c r="G210" s="157"/>
      <c r="H210" s="157"/>
      <c r="I210" s="157"/>
      <c r="J210" s="157"/>
    </row>
    <row r="211" spans="2:10" x14ac:dyDescent="0.2">
      <c r="B211" t="s">
        <v>174</v>
      </c>
      <c r="E211" s="300"/>
      <c r="F211" s="157"/>
      <c r="G211" s="157"/>
      <c r="H211" s="157"/>
      <c r="I211" s="157"/>
      <c r="J211" s="157"/>
    </row>
    <row r="212" spans="2:10" x14ac:dyDescent="0.2">
      <c r="B212" t="s">
        <v>175</v>
      </c>
      <c r="E212" s="300"/>
      <c r="F212" s="157"/>
      <c r="G212" s="157"/>
      <c r="H212" s="157"/>
      <c r="I212" s="157"/>
      <c r="J212" s="157"/>
    </row>
    <row r="213" spans="2:10" x14ac:dyDescent="0.2">
      <c r="B213" t="s">
        <v>176</v>
      </c>
      <c r="E213" s="300"/>
      <c r="F213" s="157"/>
      <c r="G213" s="157"/>
      <c r="H213" s="157"/>
      <c r="I213" s="157"/>
      <c r="J213" s="157"/>
    </row>
    <row r="214" spans="2:10" x14ac:dyDescent="0.2">
      <c r="B214" t="s">
        <v>177</v>
      </c>
      <c r="E214" s="300"/>
      <c r="F214" s="158"/>
      <c r="G214" s="158"/>
      <c r="H214" s="157"/>
      <c r="I214" s="157"/>
      <c r="J214" s="157"/>
    </row>
    <row r="215" spans="2:10" x14ac:dyDescent="0.2">
      <c r="B215" s="245" t="s">
        <v>178</v>
      </c>
      <c r="C215" s="245"/>
      <c r="D215" s="245"/>
      <c r="E215" s="301"/>
      <c r="F215" s="162"/>
      <c r="G215" s="162"/>
      <c r="H215" s="170"/>
      <c r="I215" s="170"/>
      <c r="J215" s="170"/>
    </row>
    <row r="216" spans="2:10" x14ac:dyDescent="0.2">
      <c r="B216" s="8" t="s">
        <v>179</v>
      </c>
      <c r="C216" s="8"/>
      <c r="D216" s="8"/>
      <c r="E216" s="183"/>
      <c r="F216" s="139"/>
      <c r="G216" s="139"/>
      <c r="H216" s="139"/>
      <c r="I216" s="139"/>
      <c r="J216" s="139"/>
    </row>
    <row r="217" spans="2:10" x14ac:dyDescent="0.2">
      <c r="B217" s="245" t="s">
        <v>180</v>
      </c>
      <c r="C217" s="245"/>
      <c r="D217" s="245"/>
      <c r="E217" s="301"/>
      <c r="F217" s="170"/>
      <c r="G217" s="170"/>
      <c r="H217" s="170"/>
      <c r="I217" s="170"/>
      <c r="J217" s="170"/>
    </row>
    <row r="218" spans="2:10" x14ac:dyDescent="0.2">
      <c r="B218" s="8" t="s">
        <v>181</v>
      </c>
      <c r="C218" s="8"/>
      <c r="D218" s="8"/>
      <c r="E218" s="183"/>
      <c r="F218" s="139"/>
      <c r="G218" s="139"/>
      <c r="H218" s="139"/>
      <c r="I218" s="139"/>
      <c r="J218" s="139"/>
    </row>
    <row r="219" spans="2:10" x14ac:dyDescent="0.2">
      <c r="B219" s="245" t="s">
        <v>182</v>
      </c>
      <c r="C219" s="245"/>
      <c r="D219" s="245"/>
      <c r="E219" s="301"/>
      <c r="F219" s="170"/>
      <c r="G219" s="170"/>
      <c r="H219" s="170"/>
      <c r="I219" s="170"/>
      <c r="J219" s="170"/>
    </row>
    <row r="220" spans="2:10" x14ac:dyDescent="0.2">
      <c r="B220" s="8" t="s">
        <v>183</v>
      </c>
      <c r="C220" s="8"/>
      <c r="D220" s="8"/>
      <c r="E220" s="183"/>
      <c r="F220" s="139"/>
      <c r="G220" s="139"/>
      <c r="H220" s="139"/>
      <c r="I220" s="139"/>
      <c r="J220" s="139"/>
    </row>
    <row r="221" spans="2:10" x14ac:dyDescent="0.2">
      <c r="B221" s="8"/>
      <c r="C221" s="8"/>
      <c r="D221" s="8"/>
      <c r="E221" s="8"/>
      <c r="F221" s="11"/>
      <c r="G221" s="11"/>
      <c r="H221" s="11"/>
      <c r="I221" s="11"/>
      <c r="J221" s="11"/>
    </row>
    <row r="222" spans="2:10" x14ac:dyDescent="0.2">
      <c r="B222" s="72" t="s">
        <v>184</v>
      </c>
      <c r="C222" s="8"/>
      <c r="D222" s="8"/>
      <c r="E222" s="8"/>
      <c r="F222" s="11"/>
      <c r="G222" s="11"/>
      <c r="H222" s="11"/>
      <c r="I222" s="11"/>
      <c r="J222" s="11"/>
    </row>
    <row r="223" spans="2:10" x14ac:dyDescent="0.2">
      <c r="B223" t="s">
        <v>185</v>
      </c>
      <c r="F223" s="169"/>
      <c r="G223" s="169"/>
      <c r="H223" s="169"/>
      <c r="I223" s="169"/>
      <c r="J223" s="169"/>
    </row>
    <row r="224" spans="2:10" x14ac:dyDescent="0.2">
      <c r="B224" t="s">
        <v>186</v>
      </c>
      <c r="F224" s="157"/>
      <c r="G224" s="157"/>
      <c r="H224" s="157"/>
      <c r="I224" s="157"/>
      <c r="J224" s="157"/>
    </row>
    <row r="225" spans="2:10" x14ac:dyDescent="0.2">
      <c r="B225" s="75" t="s">
        <v>187</v>
      </c>
      <c r="C225" s="75"/>
      <c r="D225" s="75"/>
      <c r="E225" s="75"/>
      <c r="F225" s="180"/>
      <c r="G225" s="180"/>
      <c r="H225" s="180"/>
      <c r="I225" s="180"/>
      <c r="J225" s="180"/>
    </row>
    <row r="226" spans="2:10" x14ac:dyDescent="0.2">
      <c r="B226" s="8"/>
      <c r="C226" s="8"/>
      <c r="D226" s="8"/>
      <c r="E226" s="11"/>
      <c r="F226" s="11"/>
      <c r="G226" s="11"/>
      <c r="H226" s="11"/>
      <c r="I226" s="11"/>
      <c r="J226" s="11"/>
    </row>
    <row r="227" spans="2:10" x14ac:dyDescent="0.2">
      <c r="B227" s="358" t="s">
        <v>188</v>
      </c>
      <c r="C227" s="358"/>
      <c r="D227" s="358"/>
      <c r="E227" s="358"/>
      <c r="F227" s="358"/>
      <c r="G227" s="358"/>
      <c r="H227" s="370"/>
      <c r="I227" s="370"/>
      <c r="J227" s="370"/>
    </row>
    <row r="229" spans="2:10" x14ac:dyDescent="0.2">
      <c r="B229" t="s">
        <v>122</v>
      </c>
      <c r="D229" s="179"/>
      <c r="G229" s="302"/>
      <c r="H229" s="303"/>
      <c r="I229" s="303"/>
      <c r="J229" s="303"/>
    </row>
    <row r="230" spans="2:10" x14ac:dyDescent="0.2">
      <c r="B230" t="s">
        <v>123</v>
      </c>
      <c r="D230" s="281"/>
      <c r="G230" s="302"/>
      <c r="H230" s="303"/>
      <c r="I230" s="303"/>
      <c r="J230" s="303"/>
    </row>
    <row r="231" spans="2:10" x14ac:dyDescent="0.2">
      <c r="G231" s="302"/>
      <c r="H231" s="303"/>
      <c r="I231" s="303"/>
      <c r="J231" s="303"/>
    </row>
    <row r="232" spans="2:10" x14ac:dyDescent="0.2">
      <c r="B232" s="247" t="s">
        <v>189</v>
      </c>
      <c r="C232" s="248"/>
      <c r="D232" s="248"/>
      <c r="E232" s="290"/>
      <c r="F232" s="290"/>
      <c r="G232" s="290"/>
      <c r="H232" s="290"/>
      <c r="I232" s="290"/>
      <c r="J232" s="296"/>
    </row>
    <row r="233" spans="2:10" x14ac:dyDescent="0.2">
      <c r="B233" s="251" t="s">
        <v>132</v>
      </c>
      <c r="C233" s="251"/>
      <c r="E233" s="73"/>
      <c r="F233" s="156"/>
      <c r="G233" s="156"/>
      <c r="H233" s="156"/>
      <c r="I233" s="156"/>
      <c r="J233" s="156"/>
    </row>
    <row r="234" spans="2:10" x14ac:dyDescent="0.2">
      <c r="B234" s="251" t="s">
        <v>133</v>
      </c>
      <c r="C234" s="251"/>
      <c r="E234" s="73"/>
      <c r="F234" s="156"/>
      <c r="G234" s="156"/>
      <c r="H234" s="156"/>
      <c r="I234" s="156"/>
      <c r="J234" s="156"/>
    </row>
    <row r="235" spans="2:10" x14ac:dyDescent="0.2">
      <c r="B235" s="251" t="s">
        <v>134</v>
      </c>
      <c r="C235" s="251"/>
      <c r="E235" s="73"/>
      <c r="F235" s="156"/>
      <c r="G235" s="156"/>
      <c r="H235" s="156"/>
      <c r="I235" s="156"/>
      <c r="J235" s="156"/>
    </row>
    <row r="236" spans="2:10" x14ac:dyDescent="0.2">
      <c r="E236" s="73"/>
      <c r="F236" s="31"/>
      <c r="G236" s="31"/>
      <c r="H236" s="31"/>
      <c r="I236" s="31"/>
      <c r="J236" s="31"/>
    </row>
    <row r="237" spans="2:10" x14ac:dyDescent="0.2">
      <c r="B237" s="247" t="s">
        <v>117</v>
      </c>
      <c r="C237" s="248"/>
      <c r="D237" s="248"/>
      <c r="E237" s="295"/>
      <c r="F237" s="290"/>
      <c r="G237" s="290"/>
      <c r="H237" s="290"/>
      <c r="I237" s="290"/>
      <c r="J237" s="296"/>
    </row>
    <row r="238" spans="2:10" x14ac:dyDescent="0.2">
      <c r="B238" s="251" t="s">
        <v>132</v>
      </c>
      <c r="C238" s="251"/>
      <c r="E238" s="73"/>
      <c r="F238" s="156"/>
      <c r="G238" s="156"/>
      <c r="H238" s="156"/>
      <c r="I238" s="156"/>
      <c r="J238" s="156"/>
    </row>
    <row r="239" spans="2:10" x14ac:dyDescent="0.2">
      <c r="B239" s="251" t="s">
        <v>133</v>
      </c>
      <c r="C239" s="251"/>
      <c r="E239" s="73"/>
      <c r="F239" s="156"/>
      <c r="G239" s="156"/>
      <c r="H239" s="156"/>
      <c r="I239" s="156"/>
      <c r="J239" s="156"/>
    </row>
    <row r="240" spans="2:10" x14ac:dyDescent="0.2">
      <c r="B240" s="251" t="s">
        <v>134</v>
      </c>
      <c r="C240" s="251"/>
      <c r="E240" s="73"/>
      <c r="F240" s="156"/>
      <c r="G240" s="156"/>
      <c r="H240" s="156"/>
      <c r="I240" s="156"/>
      <c r="J240" s="156"/>
    </row>
    <row r="241" spans="2:10" x14ac:dyDescent="0.2">
      <c r="E241" s="73"/>
      <c r="F241" s="31"/>
      <c r="G241" s="31"/>
      <c r="H241" s="31"/>
      <c r="I241" s="31"/>
      <c r="J241" s="31"/>
    </row>
    <row r="242" spans="2:10" x14ac:dyDescent="0.2">
      <c r="B242" s="247" t="s">
        <v>136</v>
      </c>
      <c r="C242" s="248"/>
      <c r="D242" s="248"/>
      <c r="E242" s="295"/>
      <c r="F242" s="290"/>
      <c r="G242" s="290"/>
      <c r="H242" s="290"/>
      <c r="I242" s="290"/>
      <c r="J242" s="296"/>
    </row>
    <row r="243" spans="2:10" x14ac:dyDescent="0.2">
      <c r="B243" s="251" t="s">
        <v>132</v>
      </c>
      <c r="C243" s="251"/>
      <c r="E243" s="73"/>
      <c r="F243" s="156"/>
      <c r="G243" s="156"/>
      <c r="H243" s="156"/>
      <c r="I243" s="156"/>
      <c r="J243" s="156"/>
    </row>
    <row r="244" spans="2:10" x14ac:dyDescent="0.2">
      <c r="B244" s="251" t="s">
        <v>133</v>
      </c>
      <c r="C244" s="251"/>
      <c r="E244" s="73"/>
      <c r="F244" s="156"/>
      <c r="G244" s="156"/>
      <c r="H244" s="156"/>
      <c r="I244" s="156"/>
      <c r="J244" s="156"/>
    </row>
    <row r="245" spans="2:10" x14ac:dyDescent="0.2">
      <c r="B245" s="251" t="s">
        <v>134</v>
      </c>
      <c r="C245" s="251"/>
      <c r="E245" s="73"/>
      <c r="F245" s="156"/>
      <c r="G245" s="156"/>
      <c r="H245" s="156"/>
      <c r="I245" s="156"/>
      <c r="J245" s="156"/>
    </row>
    <row r="246" spans="2:10" x14ac:dyDescent="0.2">
      <c r="B246" s="251"/>
      <c r="C246" s="251"/>
      <c r="E246" s="73"/>
      <c r="F246" s="31"/>
      <c r="G246" s="31"/>
      <c r="H246" s="31"/>
      <c r="I246" s="31"/>
      <c r="J246" s="31"/>
    </row>
    <row r="247" spans="2:10" x14ac:dyDescent="0.2">
      <c r="B247" s="247" t="s">
        <v>137</v>
      </c>
      <c r="C247" s="248"/>
      <c r="D247" s="248"/>
      <c r="E247" s="295"/>
      <c r="F247" s="290"/>
      <c r="G247" s="290"/>
      <c r="H247" s="290"/>
      <c r="I247" s="290"/>
      <c r="J247" s="296"/>
    </row>
    <row r="248" spans="2:10" x14ac:dyDescent="0.2">
      <c r="B248" s="251" t="s">
        <v>132</v>
      </c>
      <c r="C248" s="251"/>
      <c r="E248" s="73"/>
      <c r="F248" s="156"/>
      <c r="G248" s="156"/>
      <c r="H248" s="156"/>
      <c r="I248" s="156"/>
      <c r="J248" s="156"/>
    </row>
    <row r="249" spans="2:10" x14ac:dyDescent="0.2">
      <c r="B249" s="251" t="s">
        <v>133</v>
      </c>
      <c r="C249" s="251"/>
      <c r="E249" s="73"/>
      <c r="F249" s="156"/>
      <c r="G249" s="156"/>
      <c r="H249" s="156"/>
      <c r="I249" s="156"/>
      <c r="J249" s="156"/>
    </row>
    <row r="250" spans="2:10" x14ac:dyDescent="0.2">
      <c r="B250" s="251" t="s">
        <v>134</v>
      </c>
      <c r="C250" s="251"/>
      <c r="E250" s="73"/>
      <c r="F250" s="156"/>
      <c r="G250" s="156"/>
      <c r="H250" s="156"/>
      <c r="I250" s="156"/>
      <c r="J250" s="156"/>
    </row>
    <row r="251" spans="2:10" x14ac:dyDescent="0.2">
      <c r="B251" s="251"/>
      <c r="C251" s="251"/>
      <c r="E251" s="73"/>
      <c r="F251" s="31"/>
      <c r="G251" s="31"/>
      <c r="H251" s="31"/>
      <c r="I251" s="31"/>
      <c r="J251" s="31"/>
    </row>
    <row r="252" spans="2:10" x14ac:dyDescent="0.2">
      <c r="B252" s="247" t="s">
        <v>190</v>
      </c>
      <c r="C252" s="248"/>
      <c r="D252" s="248"/>
      <c r="E252" s="295"/>
      <c r="F252" s="290"/>
      <c r="G252" s="290"/>
      <c r="H252" s="290"/>
      <c r="I252" s="290"/>
      <c r="J252" s="296"/>
    </row>
    <row r="253" spans="2:10" x14ac:dyDescent="0.2">
      <c r="B253" s="251" t="s">
        <v>132</v>
      </c>
      <c r="C253" s="251"/>
      <c r="E253" s="73"/>
      <c r="F253" s="156"/>
      <c r="G253" s="156"/>
      <c r="H253" s="156"/>
      <c r="I253" s="156"/>
      <c r="J253" s="156"/>
    </row>
    <row r="254" spans="2:10" x14ac:dyDescent="0.2">
      <c r="B254" s="251" t="s">
        <v>133</v>
      </c>
      <c r="C254" s="251"/>
      <c r="E254" s="73"/>
      <c r="F254" s="156"/>
      <c r="G254" s="156"/>
      <c r="H254" s="156"/>
      <c r="I254" s="156"/>
      <c r="J254" s="156"/>
    </row>
    <row r="255" spans="2:10" x14ac:dyDescent="0.2">
      <c r="B255" s="251" t="s">
        <v>134</v>
      </c>
      <c r="C255" s="251"/>
      <c r="E255" s="73"/>
      <c r="F255" s="156"/>
      <c r="G255" s="156"/>
      <c r="H255" s="156"/>
      <c r="I255" s="156"/>
      <c r="J255" s="156"/>
    </row>
    <row r="256" spans="2:10" x14ac:dyDescent="0.2">
      <c r="B256" s="251"/>
      <c r="C256" s="251"/>
      <c r="E256" s="73"/>
      <c r="F256" s="31"/>
      <c r="G256" s="31"/>
      <c r="H256" s="31"/>
      <c r="I256" s="31"/>
      <c r="J256" s="31"/>
    </row>
    <row r="257" spans="1:10" x14ac:dyDescent="0.2">
      <c r="B257" s="247" t="s">
        <v>191</v>
      </c>
      <c r="C257" s="248"/>
      <c r="D257" s="248"/>
      <c r="E257" s="304"/>
      <c r="F257" s="290"/>
      <c r="G257" s="290"/>
      <c r="H257" s="290"/>
      <c r="I257" s="290"/>
      <c r="J257" s="296"/>
    </row>
    <row r="258" spans="1:10" x14ac:dyDescent="0.2">
      <c r="B258" s="251" t="s">
        <v>132</v>
      </c>
      <c r="C258" s="251"/>
      <c r="F258" s="156"/>
      <c r="G258" s="156"/>
      <c r="H258" s="156"/>
      <c r="I258" s="156"/>
      <c r="J258" s="156"/>
    </row>
    <row r="259" spans="1:10" x14ac:dyDescent="0.2">
      <c r="B259" s="251" t="s">
        <v>133</v>
      </c>
      <c r="C259" s="251"/>
      <c r="F259" s="156"/>
      <c r="G259" s="156"/>
      <c r="H259" s="156"/>
      <c r="I259" s="156"/>
      <c r="J259" s="156"/>
    </row>
    <row r="260" spans="1:10" x14ac:dyDescent="0.2">
      <c r="B260" s="251" t="s">
        <v>134</v>
      </c>
      <c r="C260" s="251"/>
      <c r="F260" s="156"/>
      <c r="G260" s="156"/>
      <c r="H260" s="156"/>
      <c r="I260" s="156"/>
      <c r="J260" s="156"/>
    </row>
    <row r="261" spans="1:10" x14ac:dyDescent="0.2">
      <c r="B261" s="251"/>
      <c r="C261" s="251"/>
      <c r="F261" s="31"/>
      <c r="G261" s="31"/>
      <c r="H261" s="31"/>
      <c r="I261" s="31"/>
      <c r="J261" s="31"/>
    </row>
    <row r="262" spans="1:10" x14ac:dyDescent="0.2">
      <c r="B262" s="247" t="s">
        <v>192</v>
      </c>
      <c r="C262" s="248"/>
      <c r="D262" s="248"/>
      <c r="E262" s="304"/>
      <c r="F262" s="290"/>
      <c r="G262" s="290"/>
      <c r="H262" s="290"/>
      <c r="I262" s="290"/>
      <c r="J262" s="296"/>
    </row>
    <row r="263" spans="1:10" x14ac:dyDescent="0.2">
      <c r="B263" s="251" t="s">
        <v>132</v>
      </c>
      <c r="C263" s="251"/>
      <c r="F263" s="156"/>
      <c r="G263" s="156"/>
      <c r="H263" s="156"/>
      <c r="I263" s="156"/>
      <c r="J263" s="156"/>
    </row>
    <row r="264" spans="1:10" x14ac:dyDescent="0.2">
      <c r="B264" s="251" t="s">
        <v>133</v>
      </c>
      <c r="C264" s="251"/>
      <c r="F264" s="156"/>
      <c r="G264" s="156"/>
      <c r="H264" s="156"/>
      <c r="I264" s="156"/>
      <c r="J264" s="156"/>
    </row>
    <row r="265" spans="1:10" x14ac:dyDescent="0.2">
      <c r="B265" s="251" t="s">
        <v>134</v>
      </c>
      <c r="C265" s="251"/>
      <c r="F265" s="156"/>
      <c r="G265" s="156"/>
      <c r="H265" s="156"/>
      <c r="I265" s="156"/>
      <c r="J265" s="156"/>
    </row>
    <row r="266" spans="1:10" x14ac:dyDescent="0.2">
      <c r="B266" s="251"/>
      <c r="C266" s="251"/>
      <c r="F266" s="31"/>
      <c r="G266" s="31"/>
      <c r="H266" s="31"/>
      <c r="I266" s="31"/>
      <c r="J266" s="31"/>
    </row>
    <row r="267" spans="1:10" x14ac:dyDescent="0.2">
      <c r="A267" t="s">
        <v>310</v>
      </c>
      <c r="B267" s="416" t="s">
        <v>193</v>
      </c>
      <c r="C267" s="421"/>
      <c r="D267" s="421"/>
      <c r="E267" s="425"/>
      <c r="F267" s="425"/>
      <c r="G267" s="425"/>
      <c r="H267" s="425"/>
      <c r="I267" s="425"/>
      <c r="J267" s="425"/>
    </row>
    <row r="268" spans="1:10" x14ac:dyDescent="0.2">
      <c r="C268" s="251"/>
      <c r="E268" s="73"/>
      <c r="F268" s="73"/>
      <c r="G268" s="73"/>
      <c r="H268" s="73"/>
      <c r="I268" s="73"/>
      <c r="J268" s="73"/>
    </row>
    <row r="269" spans="1:10" x14ac:dyDescent="0.2">
      <c r="B269" s="3" t="s">
        <v>194</v>
      </c>
      <c r="C269" s="79"/>
      <c r="D269" s="3"/>
      <c r="E269" s="80"/>
      <c r="F269" s="65">
        <v>2021</v>
      </c>
      <c r="G269" s="65">
        <f>+F269+1</f>
        <v>2022</v>
      </c>
      <c r="H269" s="65">
        <f>+G269+1</f>
        <v>2023</v>
      </c>
      <c r="I269" s="65">
        <f>+H269+1</f>
        <v>2024</v>
      </c>
      <c r="J269" s="65">
        <f>+I269+1</f>
        <v>2025</v>
      </c>
    </row>
    <row r="270" spans="1:10" x14ac:dyDescent="0.2">
      <c r="C270" s="251"/>
      <c r="E270" s="73"/>
      <c r="G270" s="81"/>
      <c r="H270" s="81"/>
      <c r="I270" s="81"/>
      <c r="J270" s="81"/>
    </row>
    <row r="271" spans="1:10" x14ac:dyDescent="0.2">
      <c r="B271" s="12" t="s">
        <v>195</v>
      </c>
      <c r="C271" s="12"/>
      <c r="D271" s="13" t="s">
        <v>56</v>
      </c>
      <c r="F271" s="82" t="s">
        <v>196</v>
      </c>
      <c r="G271" s="83"/>
      <c r="H271" s="83"/>
      <c r="I271" s="83"/>
      <c r="J271" s="83"/>
    </row>
    <row r="272" spans="1:10" x14ac:dyDescent="0.2">
      <c r="B272" s="305" t="s">
        <v>197</v>
      </c>
      <c r="C272" s="8"/>
      <c r="D272" s="185"/>
      <c r="E272" s="306" t="s">
        <v>198</v>
      </c>
      <c r="F272" s="184"/>
      <c r="G272" s="184"/>
      <c r="H272" s="184"/>
      <c r="I272" s="184"/>
      <c r="J272" s="184"/>
    </row>
    <row r="273" spans="2:10" x14ac:dyDescent="0.2">
      <c r="B273" s="305" t="s">
        <v>199</v>
      </c>
      <c r="C273" s="8"/>
      <c r="D273" s="185"/>
      <c r="E273" s="306" t="s">
        <v>200</v>
      </c>
      <c r="F273" s="184"/>
      <c r="G273" s="184"/>
      <c r="H273" s="184"/>
      <c r="I273" s="184"/>
      <c r="J273" s="184"/>
    </row>
    <row r="274" spans="2:10" x14ac:dyDescent="0.2">
      <c r="B274" s="307" t="s">
        <v>201</v>
      </c>
      <c r="C274" s="12"/>
      <c r="D274" s="186"/>
      <c r="E274" s="306" t="s">
        <v>202</v>
      </c>
      <c r="F274" s="184"/>
      <c r="G274" s="184"/>
      <c r="H274" s="184"/>
      <c r="I274" s="184"/>
      <c r="J274" s="184"/>
    </row>
    <row r="275" spans="2:10" x14ac:dyDescent="0.2">
      <c r="B275" s="87" t="s">
        <v>203</v>
      </c>
      <c r="C275" s="8"/>
      <c r="D275" s="187"/>
      <c r="F275" s="88"/>
      <c r="G275" s="88"/>
      <c r="H275" s="88"/>
      <c r="I275" s="88"/>
    </row>
    <row r="276" spans="2:10" x14ac:dyDescent="0.2">
      <c r="D276" s="305"/>
      <c r="F276" s="88"/>
      <c r="G276" s="88"/>
      <c r="H276" s="88"/>
      <c r="I276" s="88"/>
    </row>
    <row r="277" spans="2:10" x14ac:dyDescent="0.2">
      <c r="B277" t="s">
        <v>204</v>
      </c>
      <c r="F277" s="263"/>
      <c r="G277" s="263"/>
      <c r="H277" s="263"/>
      <c r="I277" s="263"/>
      <c r="J277" s="263"/>
    </row>
    <row r="278" spans="2:10" x14ac:dyDescent="0.2">
      <c r="B278" s="251" t="s">
        <v>114</v>
      </c>
      <c r="F278" s="277"/>
      <c r="G278" s="277"/>
      <c r="H278" s="277"/>
      <c r="I278" s="277"/>
      <c r="J278" s="277"/>
    </row>
    <row r="279" spans="2:10" x14ac:dyDescent="0.2">
      <c r="C279" s="308"/>
    </row>
    <row r="280" spans="2:10" x14ac:dyDescent="0.2">
      <c r="B280" s="72" t="s">
        <v>205</v>
      </c>
      <c r="C280" s="308"/>
      <c r="F280" s="306"/>
    </row>
    <row r="281" spans="2:10" x14ac:dyDescent="0.2">
      <c r="B281" s="305" t="str">
        <f>+B272</f>
        <v>Minimum EBITDA</v>
      </c>
      <c r="C281" s="308"/>
      <c r="F281" s="285"/>
      <c r="G281" s="285"/>
      <c r="H281" s="285"/>
      <c r="I281" s="285"/>
      <c r="J281" s="285"/>
    </row>
    <row r="282" spans="2:10" x14ac:dyDescent="0.2">
      <c r="B282" s="305" t="str">
        <f>+B273</f>
        <v>Midpoint EBITDA</v>
      </c>
      <c r="C282" s="308"/>
      <c r="F282" s="309"/>
      <c r="G282" s="309"/>
      <c r="H282" s="309"/>
      <c r="I282" s="309"/>
      <c r="J282" s="309"/>
    </row>
    <row r="283" spans="2:10" x14ac:dyDescent="0.2">
      <c r="B283" s="307" t="str">
        <f>+B274</f>
        <v>Outperformance EBITDA</v>
      </c>
      <c r="C283" s="310"/>
      <c r="D283" s="245"/>
      <c r="E283" s="245"/>
      <c r="F283" s="311"/>
      <c r="G283" s="311"/>
      <c r="H283" s="311"/>
      <c r="I283" s="311"/>
      <c r="J283" s="311"/>
    </row>
    <row r="284" spans="2:10" x14ac:dyDescent="0.2">
      <c r="B284" s="87" t="s">
        <v>206</v>
      </c>
      <c r="C284" s="312"/>
      <c r="E284" s="8"/>
      <c r="F284" s="188"/>
      <c r="G284" s="188"/>
      <c r="H284" s="188"/>
      <c r="I284" s="188"/>
      <c r="J284" s="188"/>
    </row>
    <row r="285" spans="2:10" x14ac:dyDescent="0.2">
      <c r="B285" s="87"/>
      <c r="C285" s="312"/>
      <c r="E285" s="8"/>
      <c r="F285" s="89"/>
      <c r="G285" s="89"/>
      <c r="H285" s="89"/>
      <c r="I285" s="89"/>
      <c r="J285" s="89"/>
    </row>
    <row r="286" spans="2:10" x14ac:dyDescent="0.2">
      <c r="B286" s="90" t="s">
        <v>207</v>
      </c>
      <c r="C286" s="312"/>
      <c r="E286" s="8"/>
      <c r="F286" s="89"/>
      <c r="G286" s="89"/>
      <c r="H286" s="89"/>
      <c r="I286" s="89"/>
      <c r="J286" s="89"/>
    </row>
    <row r="287" spans="2:10" x14ac:dyDescent="0.2">
      <c r="B287" s="305" t="s">
        <v>208</v>
      </c>
      <c r="C287" s="308"/>
      <c r="F287" s="313"/>
      <c r="G287" s="313"/>
      <c r="H287" s="313"/>
      <c r="I287" s="313"/>
      <c r="J287" s="313"/>
    </row>
    <row r="288" spans="2:10" x14ac:dyDescent="0.2">
      <c r="B288" s="305" t="s">
        <v>209</v>
      </c>
      <c r="C288" s="308"/>
      <c r="F288" s="313"/>
      <c r="G288" s="313"/>
      <c r="H288" s="313"/>
      <c r="I288" s="313"/>
      <c r="J288" s="313"/>
    </row>
    <row r="289" spans="1:10" x14ac:dyDescent="0.2">
      <c r="B289" s="314"/>
      <c r="C289" s="308"/>
      <c r="F289" s="315"/>
      <c r="G289" s="315"/>
      <c r="H289" s="315"/>
      <c r="I289" s="315"/>
      <c r="J289" s="315"/>
    </row>
    <row r="290" spans="1:10" x14ac:dyDescent="0.2">
      <c r="B290" s="72" t="s">
        <v>210</v>
      </c>
    </row>
    <row r="291" spans="1:10" x14ac:dyDescent="0.2">
      <c r="B291" s="305" t="str">
        <f>+B282</f>
        <v>Midpoint EBITDA</v>
      </c>
      <c r="F291" s="313"/>
      <c r="G291" s="313"/>
      <c r="H291" s="313"/>
      <c r="I291" s="313"/>
      <c r="J291" s="313"/>
    </row>
    <row r="292" spans="1:10" x14ac:dyDescent="0.2">
      <c r="B292" s="307" t="str">
        <f>+B283</f>
        <v>Outperformance EBITDA</v>
      </c>
      <c r="C292" s="245"/>
      <c r="D292" s="245"/>
      <c r="E292" s="245"/>
      <c r="F292" s="311"/>
      <c r="G292" s="311"/>
      <c r="H292" s="311"/>
      <c r="I292" s="311"/>
      <c r="J292" s="311"/>
    </row>
    <row r="293" spans="1:10" x14ac:dyDescent="0.2">
      <c r="B293" s="87" t="s">
        <v>210</v>
      </c>
      <c r="C293" s="8"/>
      <c r="D293" s="8"/>
      <c r="E293" s="8"/>
      <c r="F293" s="188"/>
      <c r="G293" s="188"/>
      <c r="H293" s="188"/>
      <c r="I293" s="188"/>
      <c r="J293" s="188"/>
    </row>
    <row r="294" spans="1:10" x14ac:dyDescent="0.2">
      <c r="B294" s="91"/>
      <c r="C294" s="245"/>
      <c r="D294" s="245"/>
      <c r="E294" s="245"/>
      <c r="F294" s="316"/>
      <c r="G294" s="316"/>
      <c r="H294" s="316"/>
      <c r="I294" s="316"/>
      <c r="J294" s="316"/>
    </row>
    <row r="295" spans="1:10" x14ac:dyDescent="0.2">
      <c r="B295" s="87" t="s">
        <v>211</v>
      </c>
      <c r="C295" s="8"/>
      <c r="D295" s="8"/>
      <c r="E295" s="8"/>
      <c r="F295" s="188"/>
      <c r="G295" s="188"/>
      <c r="H295" s="188"/>
      <c r="I295" s="188"/>
      <c r="J295" s="188"/>
    </row>
    <row r="296" spans="1:10" x14ac:dyDescent="0.2">
      <c r="B296" s="246"/>
      <c r="C296" s="317"/>
      <c r="D296" s="246"/>
      <c r="E296" s="81"/>
      <c r="F296" s="92"/>
      <c r="G296" s="81"/>
      <c r="H296" s="81"/>
      <c r="I296" s="81"/>
      <c r="J296" s="81"/>
    </row>
    <row r="297" spans="1:10" x14ac:dyDescent="0.2">
      <c r="A297" t="s">
        <v>310</v>
      </c>
      <c r="B297" s="416" t="s">
        <v>212</v>
      </c>
      <c r="C297" s="416"/>
      <c r="D297" s="416"/>
      <c r="E297" s="416"/>
      <c r="F297" s="416"/>
      <c r="G297" s="416"/>
      <c r="H297" s="416"/>
      <c r="I297" s="416"/>
      <c r="J297" s="416"/>
    </row>
    <row r="299" spans="1:10" x14ac:dyDescent="0.2">
      <c r="B299" s="93" t="s">
        <v>213</v>
      </c>
      <c r="C299" s="93"/>
      <c r="D299" s="93"/>
      <c r="E299" s="93"/>
      <c r="F299" s="94">
        <v>2021</v>
      </c>
      <c r="G299" s="94">
        <f>+F299+1</f>
        <v>2022</v>
      </c>
      <c r="H299" s="94">
        <f>+G299+1</f>
        <v>2023</v>
      </c>
      <c r="I299" s="94">
        <f>+H299+1</f>
        <v>2024</v>
      </c>
      <c r="J299" s="94">
        <f>+I299+1</f>
        <v>2025</v>
      </c>
    </row>
    <row r="300" spans="1:10" x14ac:dyDescent="0.2">
      <c r="F300" s="95"/>
      <c r="G300" s="95"/>
    </row>
    <row r="301" spans="1:10" x14ac:dyDescent="0.2">
      <c r="B301" t="s">
        <v>214</v>
      </c>
      <c r="F301" s="33">
        <v>150</v>
      </c>
      <c r="G301" s="33">
        <f>+F301+25</f>
        <v>175</v>
      </c>
      <c r="H301" s="33">
        <f>+G301+25</f>
        <v>200</v>
      </c>
      <c r="I301" s="33">
        <f>+H301+25</f>
        <v>225</v>
      </c>
      <c r="J301" s="33">
        <f>+I301+25</f>
        <v>250</v>
      </c>
    </row>
    <row r="302" spans="1:10" x14ac:dyDescent="0.2">
      <c r="F302" s="33"/>
      <c r="G302" s="33"/>
      <c r="H302" s="33"/>
      <c r="I302" s="33"/>
      <c r="J302" s="33"/>
    </row>
    <row r="303" spans="1:10" x14ac:dyDescent="0.2">
      <c r="B303" s="96" t="s">
        <v>215</v>
      </c>
      <c r="C303" s="1"/>
      <c r="D303" s="1"/>
      <c r="E303" s="1"/>
      <c r="F303" s="189"/>
      <c r="G303" s="189"/>
      <c r="H303" s="189"/>
      <c r="I303" s="189"/>
      <c r="J303" s="190"/>
    </row>
    <row r="304" spans="1:10" x14ac:dyDescent="0.2">
      <c r="B304" s="115"/>
      <c r="C304" s="115"/>
      <c r="D304" s="115"/>
      <c r="E304" s="115"/>
      <c r="F304" s="102"/>
      <c r="G304" s="102"/>
      <c r="H304" s="102"/>
      <c r="I304" s="102"/>
      <c r="J304" s="102"/>
    </row>
    <row r="305" spans="2:10" x14ac:dyDescent="0.2">
      <c r="B305" s="72" t="s">
        <v>41</v>
      </c>
      <c r="C305" s="99"/>
      <c r="D305" s="99"/>
      <c r="E305" s="99"/>
    </row>
    <row r="306" spans="2:10" x14ac:dyDescent="0.2">
      <c r="B306" t="s">
        <v>216</v>
      </c>
      <c r="F306" s="263"/>
      <c r="G306" s="263"/>
      <c r="H306" s="263"/>
      <c r="I306" s="263"/>
      <c r="J306" s="263"/>
    </row>
    <row r="307" spans="2:10" x14ac:dyDescent="0.2">
      <c r="B307" s="245" t="s">
        <v>180</v>
      </c>
      <c r="C307" s="245"/>
      <c r="D307" s="245"/>
      <c r="E307" s="245"/>
      <c r="F307" s="279"/>
      <c r="G307" s="279"/>
      <c r="H307" s="279"/>
      <c r="I307" s="279"/>
      <c r="J307" s="279"/>
    </row>
    <row r="308" spans="2:10" x14ac:dyDescent="0.2">
      <c r="B308" s="8" t="s">
        <v>217</v>
      </c>
      <c r="C308" s="8"/>
      <c r="D308" s="8"/>
      <c r="E308" s="8"/>
      <c r="F308" s="171"/>
      <c r="G308" s="171"/>
      <c r="H308" s="171"/>
      <c r="I308" s="171"/>
      <c r="J308" s="171"/>
    </row>
    <row r="309" spans="2:10" x14ac:dyDescent="0.2">
      <c r="F309" s="244"/>
      <c r="G309" s="244"/>
      <c r="H309" s="244"/>
      <c r="I309" s="244"/>
      <c r="J309" s="244"/>
    </row>
    <row r="310" spans="2:10" x14ac:dyDescent="0.2">
      <c r="B310" t="s">
        <v>218</v>
      </c>
      <c r="F310" s="169"/>
      <c r="G310" s="169"/>
      <c r="H310" s="169"/>
      <c r="I310" s="169"/>
      <c r="J310" s="169"/>
    </row>
    <row r="311" spans="2:10" x14ac:dyDescent="0.2">
      <c r="B311" t="s">
        <v>219</v>
      </c>
      <c r="F311" s="169"/>
      <c r="G311" s="169"/>
      <c r="H311" s="169"/>
      <c r="I311" s="169"/>
      <c r="J311" s="169"/>
    </row>
    <row r="312" spans="2:10" x14ac:dyDescent="0.2">
      <c r="F312" s="46"/>
      <c r="G312" s="46"/>
      <c r="H312" s="46"/>
      <c r="I312" s="46"/>
      <c r="J312" s="46"/>
    </row>
    <row r="313" spans="2:10" x14ac:dyDescent="0.2">
      <c r="B313" s="318" t="s">
        <v>220</v>
      </c>
      <c r="F313" s="191"/>
      <c r="G313" s="191"/>
      <c r="H313" s="191"/>
      <c r="I313" s="191"/>
      <c r="J313" s="191"/>
    </row>
    <row r="314" spans="2:10" x14ac:dyDescent="0.2">
      <c r="F314" s="302"/>
      <c r="G314" s="302"/>
      <c r="H314" s="302"/>
      <c r="I314" s="302"/>
      <c r="J314" s="302"/>
    </row>
    <row r="315" spans="2:10" x14ac:dyDescent="0.2">
      <c r="B315" t="s">
        <v>221</v>
      </c>
      <c r="F315" s="201"/>
      <c r="G315" s="201"/>
      <c r="H315" s="201"/>
      <c r="I315" s="201"/>
      <c r="J315" s="201"/>
    </row>
    <row r="316" spans="2:10" x14ac:dyDescent="0.2">
      <c r="B316" t="s">
        <v>222</v>
      </c>
      <c r="F316" s="263"/>
      <c r="G316" s="263"/>
      <c r="H316" s="263"/>
      <c r="I316" s="263"/>
      <c r="J316" s="263"/>
    </row>
    <row r="317" spans="2:10" x14ac:dyDescent="0.2">
      <c r="F317" s="244"/>
      <c r="G317" s="244"/>
      <c r="H317" s="244"/>
      <c r="I317" s="244"/>
      <c r="J317" s="244"/>
    </row>
    <row r="318" spans="2:10" x14ac:dyDescent="0.2">
      <c r="B318" t="s">
        <v>223</v>
      </c>
      <c r="F318" s="192"/>
      <c r="G318" s="192"/>
      <c r="H318" s="192"/>
      <c r="I318" s="192"/>
      <c r="J318" s="192"/>
    </row>
    <row r="319" spans="2:10" x14ac:dyDescent="0.2">
      <c r="F319" s="101"/>
      <c r="G319" s="101"/>
      <c r="H319" s="101"/>
      <c r="I319" s="101"/>
      <c r="J319" s="101"/>
    </row>
    <row r="320" spans="2:10" x14ac:dyDescent="0.2">
      <c r="B320" s="96" t="s">
        <v>224</v>
      </c>
      <c r="C320" s="1"/>
      <c r="D320" s="1"/>
      <c r="E320" s="1"/>
      <c r="F320" s="189"/>
      <c r="G320" s="189"/>
      <c r="H320" s="189"/>
      <c r="I320" s="189"/>
      <c r="J320" s="190"/>
    </row>
    <row r="321" spans="2:10" x14ac:dyDescent="0.2">
      <c r="F321" s="101"/>
      <c r="G321" s="101"/>
      <c r="H321" s="101"/>
      <c r="I321" s="101"/>
      <c r="J321" s="101"/>
    </row>
    <row r="322" spans="2:10" x14ac:dyDescent="0.2">
      <c r="B322" s="72" t="s">
        <v>42</v>
      </c>
      <c r="C322" s="99"/>
      <c r="D322" s="99"/>
      <c r="E322" s="99"/>
      <c r="F322" s="302"/>
      <c r="G322" s="302"/>
      <c r="H322" s="302"/>
      <c r="I322" s="302"/>
      <c r="J322" s="302"/>
    </row>
    <row r="323" spans="2:10" x14ac:dyDescent="0.2">
      <c r="B323" t="s">
        <v>216</v>
      </c>
      <c r="F323" s="169"/>
      <c r="G323" s="169"/>
      <c r="H323" s="169"/>
      <c r="I323" s="169"/>
      <c r="J323" s="169"/>
    </row>
    <row r="324" spans="2:10" x14ac:dyDescent="0.2">
      <c r="B324" t="s">
        <v>176</v>
      </c>
      <c r="F324" s="157"/>
      <c r="G324" s="157"/>
      <c r="H324" s="157"/>
      <c r="I324" s="157"/>
      <c r="J324" s="157"/>
    </row>
    <row r="325" spans="2:10" x14ac:dyDescent="0.2">
      <c r="B325" s="245" t="s">
        <v>182</v>
      </c>
      <c r="C325" s="245"/>
      <c r="D325" s="245"/>
      <c r="E325" s="245"/>
      <c r="F325" s="170"/>
      <c r="G325" s="170"/>
      <c r="H325" s="170"/>
      <c r="I325" s="170"/>
      <c r="J325" s="170"/>
    </row>
    <row r="326" spans="2:10" x14ac:dyDescent="0.2">
      <c r="B326" s="8" t="s">
        <v>217</v>
      </c>
      <c r="C326" s="8"/>
      <c r="D326" s="8"/>
      <c r="E326" s="8"/>
      <c r="F326" s="139"/>
      <c r="G326" s="139"/>
      <c r="H326" s="139"/>
      <c r="I326" s="139"/>
      <c r="J326" s="139"/>
    </row>
    <row r="327" spans="2:10" x14ac:dyDescent="0.2">
      <c r="F327" s="302"/>
      <c r="G327" s="302"/>
      <c r="H327" s="302"/>
      <c r="I327" s="302"/>
      <c r="J327" s="302"/>
    </row>
    <row r="328" spans="2:10" x14ac:dyDescent="0.2">
      <c r="B328" t="s">
        <v>225</v>
      </c>
      <c r="F328" s="201"/>
      <c r="G328" s="201"/>
      <c r="H328" s="201"/>
      <c r="I328" s="201"/>
      <c r="J328" s="201"/>
    </row>
    <row r="329" spans="2:10" x14ac:dyDescent="0.2">
      <c r="B329" t="s">
        <v>226</v>
      </c>
      <c r="F329" s="169"/>
      <c r="G329" s="169"/>
      <c r="H329" s="169"/>
      <c r="I329" s="169"/>
      <c r="J329" s="169"/>
    </row>
    <row r="330" spans="2:10" x14ac:dyDescent="0.2">
      <c r="F330" s="102"/>
      <c r="G330" s="102"/>
      <c r="H330" s="102"/>
      <c r="I330" s="102"/>
      <c r="J330" s="102"/>
    </row>
    <row r="331" spans="2:10" x14ac:dyDescent="0.2">
      <c r="B331" s="72" t="s">
        <v>227</v>
      </c>
      <c r="C331" s="99"/>
      <c r="F331" s="103"/>
      <c r="G331" s="103"/>
      <c r="H331" s="103"/>
      <c r="I331" s="103"/>
      <c r="J331" s="103"/>
    </row>
    <row r="332" spans="2:10" x14ac:dyDescent="0.2">
      <c r="B332" t="s">
        <v>228</v>
      </c>
      <c r="F332" s="176"/>
      <c r="G332" s="169"/>
      <c r="H332" s="169"/>
      <c r="I332" s="169"/>
      <c r="J332" s="169"/>
    </row>
    <row r="333" spans="2:10" x14ac:dyDescent="0.2">
      <c r="B333" s="245" t="s">
        <v>229</v>
      </c>
      <c r="C333" s="245"/>
      <c r="D333" s="245"/>
      <c r="E333" s="245"/>
      <c r="F333" s="162"/>
      <c r="G333" s="170"/>
      <c r="H333" s="170"/>
      <c r="I333" s="170"/>
      <c r="J333" s="170"/>
    </row>
    <row r="334" spans="2:10" x14ac:dyDescent="0.2">
      <c r="B334" s="8" t="s">
        <v>230</v>
      </c>
      <c r="C334" s="8"/>
      <c r="D334" s="8"/>
      <c r="E334" s="8"/>
      <c r="F334" s="139"/>
      <c r="G334" s="139"/>
      <c r="H334" s="139"/>
      <c r="I334" s="139"/>
      <c r="J334" s="139"/>
    </row>
    <row r="335" spans="2:10" x14ac:dyDescent="0.2">
      <c r="F335" s="103"/>
      <c r="G335" s="103"/>
      <c r="H335" s="103"/>
      <c r="I335" s="103"/>
      <c r="J335" s="103"/>
    </row>
    <row r="336" spans="2:10" x14ac:dyDescent="0.2">
      <c r="B336" t="s">
        <v>231</v>
      </c>
      <c r="F336" s="103"/>
      <c r="G336" s="103"/>
      <c r="H336" s="319"/>
      <c r="I336" s="319"/>
      <c r="J336" s="319"/>
    </row>
    <row r="337" spans="2:10" x14ac:dyDescent="0.2">
      <c r="F337" s="103"/>
      <c r="G337" s="103"/>
      <c r="H337" s="103"/>
      <c r="I337" s="103"/>
      <c r="J337" s="103"/>
    </row>
    <row r="338" spans="2:10" x14ac:dyDescent="0.2">
      <c r="B338" s="72" t="s">
        <v>232</v>
      </c>
      <c r="F338" s="103"/>
      <c r="G338" s="103"/>
      <c r="H338" s="103"/>
      <c r="I338" s="103"/>
      <c r="J338" s="103"/>
    </row>
    <row r="339" spans="2:10" x14ac:dyDescent="0.2">
      <c r="B339" t="s">
        <v>233</v>
      </c>
      <c r="F339" s="103"/>
      <c r="G339" s="104"/>
      <c r="H339" s="193"/>
      <c r="I339" s="193"/>
      <c r="J339" s="193"/>
    </row>
    <row r="340" spans="2:10" x14ac:dyDescent="0.2">
      <c r="B340" s="318" t="s">
        <v>234</v>
      </c>
      <c r="F340" s="103"/>
      <c r="G340" s="103"/>
      <c r="H340" s="194"/>
      <c r="I340" s="194"/>
      <c r="J340" s="194"/>
    </row>
    <row r="341" spans="2:10" x14ac:dyDescent="0.2">
      <c r="B341" t="s">
        <v>235</v>
      </c>
      <c r="F341" s="103"/>
      <c r="G341" s="104"/>
      <c r="H341" s="193"/>
      <c r="I341" s="193"/>
      <c r="J341" s="193"/>
    </row>
    <row r="342" spans="2:10" x14ac:dyDescent="0.2">
      <c r="B342" s="318" t="s">
        <v>236</v>
      </c>
      <c r="F342" s="103"/>
      <c r="G342" s="103"/>
      <c r="H342" s="194"/>
      <c r="I342" s="194"/>
      <c r="J342" s="194"/>
    </row>
    <row r="343" spans="2:10" x14ac:dyDescent="0.2">
      <c r="F343" s="266"/>
      <c r="G343" s="266"/>
      <c r="H343" s="266"/>
      <c r="I343" s="266"/>
      <c r="J343" s="266"/>
    </row>
    <row r="344" spans="2:10" x14ac:dyDescent="0.2">
      <c r="B344" s="72" t="s">
        <v>237</v>
      </c>
      <c r="F344" s="103"/>
      <c r="G344" s="103"/>
      <c r="H344" s="106"/>
      <c r="I344" s="103"/>
      <c r="J344" s="103"/>
    </row>
    <row r="345" spans="2:10" x14ac:dyDescent="0.2">
      <c r="B345" t="s">
        <v>216</v>
      </c>
      <c r="F345" s="195"/>
      <c r="G345" s="195"/>
      <c r="H345" s="195"/>
      <c r="I345" s="196"/>
      <c r="J345" s="196"/>
    </row>
    <row r="346" spans="2:10" x14ac:dyDescent="0.2">
      <c r="B346" s="245" t="s">
        <v>238</v>
      </c>
      <c r="C346" s="245"/>
      <c r="D346" s="245"/>
      <c r="E346" s="245"/>
      <c r="F346" s="161"/>
      <c r="G346" s="161"/>
      <c r="H346" s="197"/>
      <c r="I346" s="197"/>
      <c r="J346" s="197"/>
    </row>
    <row r="347" spans="2:10" x14ac:dyDescent="0.2">
      <c r="B347" s="8" t="s">
        <v>217</v>
      </c>
      <c r="C347" s="8"/>
      <c r="D347" s="8"/>
      <c r="E347" s="8"/>
      <c r="F347" s="139"/>
      <c r="G347" s="139"/>
      <c r="H347" s="139"/>
      <c r="I347" s="139"/>
      <c r="J347" s="139"/>
    </row>
    <row r="348" spans="2:10" x14ac:dyDescent="0.2">
      <c r="F348" s="102"/>
      <c r="G348" s="102"/>
      <c r="H348" s="102"/>
      <c r="I348" s="102"/>
      <c r="J348" s="102"/>
    </row>
    <row r="349" spans="2:10" x14ac:dyDescent="0.2">
      <c r="B349" t="s">
        <v>239</v>
      </c>
      <c r="F349" s="152"/>
      <c r="G349" s="152"/>
      <c r="H349" s="201"/>
      <c r="I349" s="201"/>
      <c r="J349" s="201"/>
    </row>
    <row r="350" spans="2:10" x14ac:dyDescent="0.2">
      <c r="B350" t="s">
        <v>240</v>
      </c>
      <c r="F350" s="152"/>
      <c r="G350" s="152"/>
      <c r="H350" s="169"/>
      <c r="I350" s="169"/>
      <c r="J350" s="169"/>
    </row>
    <row r="351" spans="2:10" x14ac:dyDescent="0.2">
      <c r="F351" s="46"/>
      <c r="G351" s="46"/>
      <c r="H351" s="46"/>
      <c r="I351" s="46"/>
      <c r="J351" s="46"/>
    </row>
    <row r="352" spans="2:10" x14ac:dyDescent="0.2">
      <c r="B352" t="s">
        <v>241</v>
      </c>
      <c r="F352" s="176"/>
      <c r="G352" s="176"/>
      <c r="H352" s="169"/>
      <c r="I352" s="169"/>
      <c r="J352" s="169"/>
    </row>
    <row r="353" spans="1:10" x14ac:dyDescent="0.2">
      <c r="F353" s="103"/>
      <c r="G353" s="103"/>
      <c r="H353" s="103"/>
      <c r="I353" s="103"/>
      <c r="J353" s="103"/>
    </row>
    <row r="354" spans="1:10" x14ac:dyDescent="0.2">
      <c r="A354" t="s">
        <v>310</v>
      </c>
      <c r="B354" s="416" t="s">
        <v>242</v>
      </c>
      <c r="C354" s="416"/>
      <c r="D354" s="416"/>
      <c r="E354" s="416"/>
      <c r="F354" s="426"/>
      <c r="G354" s="426"/>
      <c r="H354" s="426"/>
      <c r="I354" s="426"/>
      <c r="J354" s="426"/>
    </row>
    <row r="355" spans="1:10" x14ac:dyDescent="0.2">
      <c r="B355" s="2"/>
      <c r="C355" s="2"/>
      <c r="D355" s="2"/>
      <c r="E355" s="2"/>
      <c r="F355" s="109"/>
      <c r="G355" s="109"/>
      <c r="H355" s="109"/>
      <c r="I355" s="109"/>
      <c r="J355" s="109"/>
    </row>
    <row r="356" spans="1:10" x14ac:dyDescent="0.2">
      <c r="B356" s="93" t="s">
        <v>243</v>
      </c>
      <c r="C356" s="320"/>
      <c r="D356" s="320"/>
      <c r="F356" s="93" t="s">
        <v>244</v>
      </c>
      <c r="G356" s="93"/>
      <c r="H356" s="93"/>
      <c r="I356" s="93"/>
      <c r="J356" s="93"/>
    </row>
    <row r="357" spans="1:10" x14ac:dyDescent="0.2">
      <c r="B357" s="1" t="s">
        <v>245</v>
      </c>
      <c r="C357" s="1"/>
      <c r="D357" s="27" t="s">
        <v>246</v>
      </c>
      <c r="F357" t="s">
        <v>247</v>
      </c>
      <c r="G357" s="109"/>
      <c r="H357" s="109"/>
      <c r="I357" s="109"/>
      <c r="J357" s="264"/>
    </row>
    <row r="358" spans="1:10" x14ac:dyDescent="0.2">
      <c r="B358" s="321" t="s">
        <v>248</v>
      </c>
      <c r="D358" s="280"/>
      <c r="F358" t="s">
        <v>249</v>
      </c>
      <c r="G358" s="109"/>
      <c r="H358" s="109"/>
      <c r="I358" s="109"/>
      <c r="J358" s="158"/>
    </row>
    <row r="359" spans="1:10" x14ac:dyDescent="0.2">
      <c r="B359" s="245" t="s">
        <v>250</v>
      </c>
      <c r="C359" s="245"/>
      <c r="D359" s="198"/>
      <c r="F359" s="245" t="s">
        <v>251</v>
      </c>
      <c r="G359" s="111"/>
      <c r="H359" s="111"/>
      <c r="I359" s="111"/>
      <c r="J359" s="162"/>
    </row>
    <row r="360" spans="1:10" x14ac:dyDescent="0.2">
      <c r="B360" s="8" t="s">
        <v>64</v>
      </c>
      <c r="C360" s="8"/>
      <c r="D360" s="199"/>
      <c r="F360" s="8" t="s">
        <v>252</v>
      </c>
      <c r="G360" s="103"/>
      <c r="H360" s="103"/>
      <c r="I360" s="103"/>
      <c r="J360" s="142"/>
    </row>
    <row r="361" spans="1:10" x14ac:dyDescent="0.2">
      <c r="B361" t="s">
        <v>253</v>
      </c>
      <c r="D361" s="200"/>
      <c r="F361" s="103"/>
      <c r="G361" s="103"/>
      <c r="H361" s="103"/>
      <c r="I361" s="103"/>
      <c r="J361" s="103"/>
    </row>
    <row r="362" spans="1:10" x14ac:dyDescent="0.2">
      <c r="D362" s="113"/>
      <c r="F362" s="103"/>
      <c r="G362" s="103"/>
      <c r="H362" s="103"/>
      <c r="I362" s="103"/>
      <c r="J362" s="103"/>
    </row>
    <row r="363" spans="1:10" x14ac:dyDescent="0.2">
      <c r="B363" s="12" t="s">
        <v>254</v>
      </c>
      <c r="C363" s="245"/>
      <c r="D363" s="13" t="s">
        <v>246</v>
      </c>
      <c r="F363" s="93" t="s">
        <v>255</v>
      </c>
      <c r="G363" s="320"/>
      <c r="H363" s="320"/>
      <c r="I363" s="320"/>
      <c r="J363" s="320"/>
    </row>
    <row r="364" spans="1:10" x14ac:dyDescent="0.2">
      <c r="B364" s="114" t="s">
        <v>248</v>
      </c>
      <c r="C364" s="115"/>
      <c r="D364" s="201"/>
      <c r="F364" t="s">
        <v>256</v>
      </c>
      <c r="J364" s="204"/>
    </row>
    <row r="365" spans="1:10" x14ac:dyDescent="0.2">
      <c r="B365" s="118" t="s">
        <v>253</v>
      </c>
      <c r="C365" s="118"/>
      <c r="D365" s="202"/>
      <c r="F365" t="s">
        <v>257</v>
      </c>
      <c r="J365" s="152"/>
    </row>
    <row r="366" spans="1:10" x14ac:dyDescent="0.2">
      <c r="B366" s="120" t="s">
        <v>64</v>
      </c>
      <c r="C366" s="120"/>
      <c r="D366" s="203"/>
      <c r="F366" t="s">
        <v>258</v>
      </c>
      <c r="J366" s="264"/>
    </row>
    <row r="367" spans="1:10" x14ac:dyDescent="0.2">
      <c r="F367" t="s">
        <v>259</v>
      </c>
      <c r="J367" s="264"/>
    </row>
    <row r="368" spans="1:10" x14ac:dyDescent="0.2">
      <c r="F368" t="s">
        <v>260</v>
      </c>
      <c r="J368" s="280"/>
    </row>
    <row r="369" spans="1:10" x14ac:dyDescent="0.2">
      <c r="F369" t="s">
        <v>261</v>
      </c>
      <c r="J369" s="204"/>
    </row>
    <row r="370" spans="1:10" x14ac:dyDescent="0.2">
      <c r="F370" t="s">
        <v>262</v>
      </c>
      <c r="J370" s="169"/>
    </row>
    <row r="371" spans="1:10" x14ac:dyDescent="0.2">
      <c r="F371" t="s">
        <v>263</v>
      </c>
      <c r="J371" s="204"/>
    </row>
    <row r="372" spans="1:10" x14ac:dyDescent="0.2">
      <c r="F372" t="s">
        <v>264</v>
      </c>
      <c r="J372" s="157"/>
    </row>
    <row r="373" spans="1:10" x14ac:dyDescent="0.2">
      <c r="F373" s="103"/>
      <c r="J373" s="117"/>
    </row>
    <row r="374" spans="1:10" x14ac:dyDescent="0.2">
      <c r="B374" s="93" t="s">
        <v>5</v>
      </c>
      <c r="C374" s="93"/>
      <c r="D374" s="93"/>
      <c r="E374" s="93"/>
      <c r="F374" s="65">
        <v>2021</v>
      </c>
      <c r="G374" s="65">
        <f>+F374+1</f>
        <v>2022</v>
      </c>
      <c r="H374" s="65">
        <f>+G374+1</f>
        <v>2023</v>
      </c>
      <c r="I374" s="65">
        <f>+H374+1</f>
        <v>2024</v>
      </c>
      <c r="J374" s="65">
        <f>+I374+1</f>
        <v>2025</v>
      </c>
    </row>
    <row r="375" spans="1:10" x14ac:dyDescent="0.2">
      <c r="B375" t="s">
        <v>247</v>
      </c>
      <c r="F375" s="264"/>
      <c r="G375" s="264"/>
      <c r="H375" s="264"/>
      <c r="I375" s="264"/>
      <c r="J375" s="264"/>
    </row>
    <row r="376" spans="1:10" x14ac:dyDescent="0.2">
      <c r="B376" t="s">
        <v>249</v>
      </c>
      <c r="F376" s="284"/>
      <c r="G376" s="284"/>
      <c r="H376" s="284"/>
      <c r="I376" s="284"/>
      <c r="J376" s="284"/>
    </row>
    <row r="377" spans="1:10" x14ac:dyDescent="0.2">
      <c r="B377" s="245" t="s">
        <v>265</v>
      </c>
      <c r="C377" s="245"/>
      <c r="D377" s="245"/>
      <c r="E377" s="245"/>
      <c r="F377" s="279"/>
      <c r="G377" s="279"/>
      <c r="H377" s="279"/>
      <c r="I377" s="279"/>
      <c r="J377" s="279"/>
    </row>
    <row r="378" spans="1:10" x14ac:dyDescent="0.2">
      <c r="B378" s="8" t="s">
        <v>266</v>
      </c>
      <c r="C378" s="8"/>
      <c r="F378" s="205"/>
      <c r="G378" s="205"/>
      <c r="H378" s="205"/>
      <c r="I378" s="205"/>
      <c r="J378" s="205"/>
    </row>
    <row r="379" spans="1:10" x14ac:dyDescent="0.2">
      <c r="B379" s="8"/>
      <c r="C379" s="8"/>
      <c r="F379" s="122"/>
      <c r="G379" s="122"/>
      <c r="H379" s="122"/>
      <c r="I379" s="122"/>
      <c r="J379" s="122"/>
    </row>
    <row r="380" spans="1:10" x14ac:dyDescent="0.2">
      <c r="B380" s="96" t="s">
        <v>267</v>
      </c>
      <c r="C380" s="1"/>
      <c r="D380" s="1"/>
      <c r="E380" s="123"/>
      <c r="F380" s="206"/>
      <c r="G380" s="206"/>
      <c r="H380" s="206"/>
      <c r="I380" s="206"/>
      <c r="J380" s="207"/>
    </row>
    <row r="381" spans="1:10" x14ac:dyDescent="0.2">
      <c r="F381" s="103"/>
      <c r="G381" s="103"/>
      <c r="H381" s="103"/>
      <c r="I381" s="103"/>
      <c r="J381" s="103"/>
    </row>
    <row r="382" spans="1:10" x14ac:dyDescent="0.2">
      <c r="A382" t="s">
        <v>310</v>
      </c>
      <c r="B382" s="416" t="s">
        <v>268</v>
      </c>
      <c r="C382" s="416"/>
      <c r="D382" s="416"/>
      <c r="E382" s="416"/>
      <c r="F382" s="416"/>
      <c r="G382" s="416"/>
      <c r="H382" s="416"/>
      <c r="I382" s="416"/>
      <c r="J382" s="416"/>
    </row>
    <row r="384" spans="1:10" x14ac:dyDescent="0.2">
      <c r="B384" s="3" t="s">
        <v>269</v>
      </c>
      <c r="C384" s="3"/>
      <c r="D384" s="3"/>
      <c r="E384" s="3"/>
      <c r="F384" s="65">
        <v>2021</v>
      </c>
      <c r="G384" s="65">
        <f>+F384+1</f>
        <v>2022</v>
      </c>
      <c r="H384" s="65">
        <f>+G384+1</f>
        <v>2023</v>
      </c>
      <c r="I384" s="65">
        <f>+H384+1</f>
        <v>2024</v>
      </c>
      <c r="J384" s="65">
        <f>+I384+1</f>
        <v>2025</v>
      </c>
    </row>
    <row r="386" spans="2:10" x14ac:dyDescent="0.2">
      <c r="B386" s="8" t="s">
        <v>270</v>
      </c>
      <c r="C386" s="8"/>
      <c r="D386" s="8"/>
      <c r="E386" s="126"/>
      <c r="F386" s="139"/>
      <c r="G386" s="139"/>
      <c r="H386" s="139"/>
      <c r="I386" s="139"/>
      <c r="J386" s="139"/>
    </row>
    <row r="387" spans="2:10" x14ac:dyDescent="0.2">
      <c r="B387" s="245" t="s">
        <v>271</v>
      </c>
      <c r="C387" s="245"/>
      <c r="D387" s="245"/>
      <c r="E387" s="322"/>
      <c r="F387" s="208"/>
      <c r="G387" s="323"/>
      <c r="H387" s="323"/>
      <c r="I387" s="323"/>
      <c r="J387" s="323"/>
    </row>
    <row r="388" spans="2:10" x14ac:dyDescent="0.2">
      <c r="B388" s="8" t="s">
        <v>272</v>
      </c>
      <c r="C388" s="8"/>
      <c r="D388" s="8"/>
      <c r="E388" s="126"/>
      <c r="F388" s="139"/>
      <c r="G388" s="139"/>
      <c r="H388" s="139"/>
      <c r="I388" s="139"/>
      <c r="J388" s="139"/>
    </row>
    <row r="389" spans="2:10" x14ac:dyDescent="0.2">
      <c r="B389" s="245" t="s">
        <v>273</v>
      </c>
      <c r="C389" s="245"/>
      <c r="D389" s="245"/>
      <c r="E389" s="322"/>
      <c r="F389" s="170"/>
      <c r="G389" s="170"/>
      <c r="H389" s="170"/>
      <c r="I389" s="170"/>
      <c r="J389" s="170"/>
    </row>
    <row r="390" spans="2:10" x14ac:dyDescent="0.2">
      <c r="B390" s="8" t="s">
        <v>274</v>
      </c>
      <c r="C390" s="8"/>
      <c r="D390" s="8"/>
      <c r="E390" s="126"/>
      <c r="F390" s="139"/>
      <c r="G390" s="139"/>
      <c r="H390" s="139"/>
      <c r="I390" s="139"/>
      <c r="J390" s="139"/>
    </row>
    <row r="391" spans="2:10" x14ac:dyDescent="0.2">
      <c r="B391" s="8"/>
      <c r="C391" s="8"/>
      <c r="D391" s="8"/>
      <c r="E391" s="126"/>
      <c r="F391" s="11"/>
      <c r="G391" s="11"/>
      <c r="H391" s="11"/>
      <c r="I391" s="11"/>
      <c r="J391" s="11"/>
    </row>
    <row r="392" spans="2:10" x14ac:dyDescent="0.2">
      <c r="B392" s="12" t="s">
        <v>275</v>
      </c>
      <c r="C392" s="245"/>
      <c r="D392" s="245"/>
      <c r="E392" s="324"/>
      <c r="F392" s="77"/>
      <c r="G392" s="77"/>
      <c r="H392" s="77"/>
      <c r="I392" s="77"/>
      <c r="J392" s="77"/>
    </row>
    <row r="393" spans="2:10" x14ac:dyDescent="0.2">
      <c r="B393" t="s">
        <v>276</v>
      </c>
      <c r="E393" s="325"/>
      <c r="F393" s="196"/>
      <c r="G393" s="196"/>
      <c r="H393" s="196"/>
      <c r="I393" s="196"/>
      <c r="J393" s="196"/>
    </row>
    <row r="394" spans="2:10" x14ac:dyDescent="0.2">
      <c r="B394" t="s">
        <v>277</v>
      </c>
      <c r="E394" s="325"/>
      <c r="F394" s="196"/>
      <c r="G394" s="196"/>
      <c r="H394" s="196"/>
      <c r="I394" s="196"/>
      <c r="J394" s="196"/>
    </row>
    <row r="395" spans="2:10" x14ac:dyDescent="0.2">
      <c r="F395" s="326"/>
      <c r="G395" s="326"/>
      <c r="H395" s="326"/>
      <c r="I395" s="326"/>
      <c r="J395" s="326"/>
    </row>
    <row r="396" spans="2:10" x14ac:dyDescent="0.2">
      <c r="B396" t="s">
        <v>278</v>
      </c>
      <c r="D396" s="306" t="s">
        <v>279</v>
      </c>
      <c r="E396" s="327"/>
      <c r="F396" s="169"/>
      <c r="G396" s="169"/>
      <c r="H396" s="169"/>
      <c r="I396" s="169"/>
      <c r="J396" s="169"/>
    </row>
    <row r="397" spans="2:10" x14ac:dyDescent="0.2">
      <c r="B397" t="s">
        <v>280</v>
      </c>
      <c r="C397" s="246"/>
      <c r="D397" s="306" t="s">
        <v>281</v>
      </c>
      <c r="E397" s="328"/>
      <c r="F397" s="158"/>
      <c r="G397" s="158"/>
      <c r="H397" s="264"/>
      <c r="I397" s="264"/>
      <c r="J397" s="264"/>
    </row>
    <row r="398" spans="2:10" x14ac:dyDescent="0.2">
      <c r="B398" s="245" t="s">
        <v>282</v>
      </c>
      <c r="C398" s="329"/>
      <c r="D398" s="329"/>
      <c r="E398" s="329"/>
      <c r="F398" s="170"/>
      <c r="G398" s="170"/>
      <c r="H398" s="170"/>
      <c r="I398" s="170"/>
      <c r="J398" s="170"/>
    </row>
    <row r="399" spans="2:10" x14ac:dyDescent="0.2">
      <c r="B399" s="8" t="s">
        <v>283</v>
      </c>
      <c r="C399" s="8"/>
      <c r="D399" s="8"/>
      <c r="E399" s="126"/>
      <c r="F399" s="139"/>
      <c r="G399" s="139"/>
      <c r="H399" s="139"/>
      <c r="I399" s="139"/>
      <c r="J399" s="139"/>
    </row>
    <row r="401" spans="2:10" x14ac:dyDescent="0.2">
      <c r="B401" s="69" t="s">
        <v>284</v>
      </c>
      <c r="C401" s="69"/>
      <c r="D401" s="69"/>
      <c r="E401" s="128">
        <v>2020</v>
      </c>
      <c r="F401" s="129">
        <f>+E401+1</f>
        <v>2021</v>
      </c>
      <c r="G401" s="129">
        <f>+F401+1</f>
        <v>2022</v>
      </c>
      <c r="H401" s="129">
        <f>+G401+1</f>
        <v>2023</v>
      </c>
      <c r="I401" s="129">
        <f>+H401+1</f>
        <v>2024</v>
      </c>
      <c r="J401" s="129">
        <f>+I401+1</f>
        <v>2025</v>
      </c>
    </row>
    <row r="402" spans="2:10" x14ac:dyDescent="0.2">
      <c r="B402" s="99"/>
      <c r="C402" s="363" t="s">
        <v>285</v>
      </c>
      <c r="D402" s="363" t="s">
        <v>286</v>
      </c>
      <c r="E402" s="356">
        <v>44196</v>
      </c>
      <c r="F402" s="356">
        <f>+EOMONTH(E402,12)</f>
        <v>44561</v>
      </c>
      <c r="G402" s="356">
        <f>+EOMONTH(F402,12)</f>
        <v>44926</v>
      </c>
      <c r="H402" s="356">
        <f>+EOMONTH(G402,12)</f>
        <v>45291</v>
      </c>
      <c r="I402" s="356">
        <f>+EOMONTH(H402,12)</f>
        <v>45657</v>
      </c>
      <c r="J402" s="356">
        <f>+EOMONTH(I402,12)</f>
        <v>46022</v>
      </c>
    </row>
    <row r="403" spans="2:10" x14ac:dyDescent="0.2">
      <c r="B403" s="330">
        <v>2021</v>
      </c>
      <c r="C403" s="364"/>
      <c r="D403" s="365"/>
      <c r="E403" s="209"/>
      <c r="F403" s="209"/>
      <c r="G403" s="209"/>
      <c r="H403" s="209"/>
      <c r="I403" s="209"/>
      <c r="J403" s="209"/>
    </row>
    <row r="404" spans="2:10" x14ac:dyDescent="0.2">
      <c r="B404" s="330">
        <f>+B403+1</f>
        <v>2022</v>
      </c>
      <c r="C404" s="364"/>
      <c r="D404" s="365"/>
      <c r="E404" s="209"/>
      <c r="F404" s="209"/>
      <c r="G404" s="209"/>
      <c r="H404" s="209"/>
      <c r="I404" s="209"/>
      <c r="J404" s="209"/>
    </row>
    <row r="405" spans="2:10" x14ac:dyDescent="0.2">
      <c r="B405" s="330">
        <f>+B404+1</f>
        <v>2023</v>
      </c>
      <c r="C405" s="364"/>
      <c r="D405" s="365"/>
      <c r="E405" s="209"/>
      <c r="F405" s="209"/>
      <c r="G405" s="209"/>
      <c r="H405" s="209"/>
      <c r="I405" s="209"/>
      <c r="J405" s="209"/>
    </row>
    <row r="406" spans="2:10" x14ac:dyDescent="0.2">
      <c r="B406" s="330">
        <f>+B405+1</f>
        <v>2024</v>
      </c>
      <c r="C406" s="364"/>
      <c r="D406" s="365"/>
      <c r="E406" s="209"/>
      <c r="F406" s="209"/>
      <c r="G406" s="209"/>
      <c r="H406" s="209"/>
      <c r="I406" s="209"/>
      <c r="J406" s="209"/>
    </row>
    <row r="407" spans="2:10" x14ac:dyDescent="0.2">
      <c r="B407" s="330">
        <f>+B406+1</f>
        <v>2025</v>
      </c>
      <c r="C407" s="366"/>
      <c r="D407" s="367"/>
      <c r="E407" s="209"/>
      <c r="F407" s="209"/>
      <c r="G407" s="209"/>
      <c r="H407" s="209"/>
      <c r="I407" s="209"/>
      <c r="J407" s="209"/>
    </row>
    <row r="408" spans="2:10" x14ac:dyDescent="0.2">
      <c r="B408" s="330"/>
      <c r="C408" s="331"/>
      <c r="D408" s="332"/>
      <c r="E408" s="88"/>
      <c r="F408" s="88"/>
      <c r="G408" s="88"/>
      <c r="H408" s="88"/>
      <c r="I408" s="88"/>
      <c r="J408" s="88"/>
    </row>
    <row r="409" spans="2:10" x14ac:dyDescent="0.2">
      <c r="B409" s="54" t="s">
        <v>287</v>
      </c>
      <c r="C409" s="333"/>
      <c r="D409" s="334"/>
      <c r="E409" s="131"/>
      <c r="F409" s="131"/>
      <c r="G409" s="131"/>
      <c r="H409" s="131"/>
      <c r="I409" s="131"/>
      <c r="J409" s="131"/>
    </row>
    <row r="411" spans="2:10" x14ac:dyDescent="0.2">
      <c r="D411" s="132" t="s">
        <v>288</v>
      </c>
      <c r="E411" s="335"/>
      <c r="F411" s="335"/>
      <c r="G411" s="335"/>
      <c r="H411" s="335"/>
      <c r="I411" s="335"/>
      <c r="J411" s="336"/>
    </row>
    <row r="413" spans="2:10" x14ac:dyDescent="0.2">
      <c r="D413" s="2" t="s">
        <v>289</v>
      </c>
      <c r="E413" s="258"/>
      <c r="F413" s="258"/>
      <c r="G413" s="258"/>
      <c r="H413" s="258"/>
      <c r="I413" s="258"/>
      <c r="J413" s="258"/>
    </row>
    <row r="414" spans="2:10" x14ac:dyDescent="0.2">
      <c r="C414" s="210"/>
      <c r="D414" s="337"/>
      <c r="E414" s="337"/>
      <c r="F414" s="337"/>
      <c r="G414" s="211"/>
      <c r="H414" s="337"/>
      <c r="I414" s="337"/>
      <c r="J414" s="337"/>
    </row>
    <row r="415" spans="2:10" x14ac:dyDescent="0.2">
      <c r="C415" s="338"/>
      <c r="D415" s="339"/>
      <c r="E415" s="339"/>
      <c r="F415" s="339"/>
      <c r="G415" s="339"/>
      <c r="H415" s="339"/>
      <c r="I415" s="339"/>
      <c r="J415" s="339"/>
    </row>
    <row r="416" spans="2:10" x14ac:dyDescent="0.2">
      <c r="C416" s="338"/>
      <c r="D416" s="339"/>
      <c r="E416" s="339"/>
      <c r="F416" s="339"/>
      <c r="G416" s="339"/>
      <c r="H416" s="339"/>
      <c r="I416" s="339"/>
      <c r="J416" s="339"/>
    </row>
    <row r="417" spans="2:10" x14ac:dyDescent="0.2">
      <c r="B417" s="19" t="s">
        <v>290</v>
      </c>
      <c r="C417" s="338"/>
      <c r="D417" s="339"/>
      <c r="E417" s="339"/>
      <c r="F417" s="339"/>
      <c r="G417" s="339"/>
      <c r="H417" s="339"/>
      <c r="I417" s="339"/>
      <c r="J417" s="339"/>
    </row>
    <row r="418" spans="2:10" x14ac:dyDescent="0.2">
      <c r="B418" s="19" t="s">
        <v>291</v>
      </c>
      <c r="C418" s="204"/>
      <c r="D418" s="339"/>
      <c r="E418" s="339"/>
      <c r="F418" s="339"/>
      <c r="G418" s="339"/>
      <c r="H418" s="339"/>
      <c r="I418" s="339"/>
      <c r="J418" s="339"/>
    </row>
    <row r="419" spans="2:10" x14ac:dyDescent="0.2">
      <c r="C419" s="338"/>
      <c r="D419" s="339"/>
      <c r="E419" s="339"/>
      <c r="F419" s="339"/>
      <c r="G419" s="339"/>
      <c r="H419" s="339"/>
      <c r="I419" s="339"/>
      <c r="J419" s="339"/>
    </row>
    <row r="420" spans="2:10" x14ac:dyDescent="0.2">
      <c r="C420" s="338"/>
      <c r="D420" s="339"/>
      <c r="E420" s="339"/>
      <c r="F420" s="339"/>
      <c r="G420" s="339"/>
      <c r="H420" s="339"/>
      <c r="I420" s="339"/>
      <c r="J420" s="339"/>
    </row>
    <row r="421" spans="2:10" x14ac:dyDescent="0.2">
      <c r="C421" s="338"/>
      <c r="D421" s="339"/>
      <c r="E421" s="339"/>
      <c r="F421" s="339"/>
      <c r="G421" s="339"/>
      <c r="H421" s="339"/>
      <c r="I421" s="339"/>
      <c r="J421" s="339"/>
    </row>
    <row r="423" spans="2:10" x14ac:dyDescent="0.2">
      <c r="D423" s="132" t="s">
        <v>292</v>
      </c>
      <c r="E423" s="335"/>
      <c r="F423" s="335"/>
      <c r="G423" s="335"/>
      <c r="H423" s="335"/>
      <c r="I423" s="335"/>
      <c r="J423" s="336"/>
    </row>
    <row r="425" spans="2:10" x14ac:dyDescent="0.2">
      <c r="D425" s="2" t="s">
        <v>289</v>
      </c>
      <c r="E425" s="258"/>
      <c r="F425" s="258"/>
      <c r="G425" s="258"/>
      <c r="H425" s="258"/>
      <c r="I425" s="258"/>
      <c r="J425" s="258"/>
    </row>
    <row r="426" spans="2:10" x14ac:dyDescent="0.2">
      <c r="C426" s="212"/>
      <c r="D426" s="337"/>
      <c r="E426" s="337"/>
      <c r="F426" s="337"/>
      <c r="G426" s="211"/>
      <c r="H426" s="337"/>
      <c r="I426" s="337"/>
      <c r="J426" s="337"/>
    </row>
    <row r="427" spans="2:10" x14ac:dyDescent="0.2">
      <c r="C427" s="338"/>
      <c r="D427" s="340"/>
      <c r="E427" s="340"/>
      <c r="F427" s="340"/>
      <c r="G427" s="340"/>
      <c r="H427" s="340"/>
      <c r="I427" s="340"/>
      <c r="J427" s="340"/>
    </row>
    <row r="428" spans="2:10" x14ac:dyDescent="0.2">
      <c r="C428" s="338"/>
      <c r="D428" s="340"/>
      <c r="E428" s="340"/>
      <c r="F428" s="340"/>
      <c r="G428" s="340"/>
      <c r="H428" s="340"/>
      <c r="I428" s="340"/>
      <c r="J428" s="340"/>
    </row>
    <row r="429" spans="2:10" x14ac:dyDescent="0.2">
      <c r="B429" s="19" t="s">
        <v>290</v>
      </c>
      <c r="C429" s="338"/>
      <c r="D429" s="340"/>
      <c r="E429" s="340"/>
      <c r="F429" s="340"/>
      <c r="G429" s="340"/>
      <c r="H429" s="340"/>
      <c r="I429" s="340"/>
      <c r="J429" s="340"/>
    </row>
    <row r="430" spans="2:10" x14ac:dyDescent="0.2">
      <c r="B430" s="19" t="s">
        <v>291</v>
      </c>
      <c r="C430" s="204"/>
      <c r="D430" s="340"/>
      <c r="E430" s="340"/>
      <c r="F430" s="340"/>
      <c r="G430" s="340"/>
      <c r="H430" s="340"/>
      <c r="I430" s="340"/>
      <c r="J430" s="340"/>
    </row>
    <row r="431" spans="2:10" x14ac:dyDescent="0.2">
      <c r="C431" s="338"/>
      <c r="D431" s="340"/>
      <c r="E431" s="340"/>
      <c r="F431" s="340"/>
      <c r="G431" s="340"/>
      <c r="H431" s="340"/>
      <c r="I431" s="340"/>
      <c r="J431" s="340"/>
    </row>
    <row r="432" spans="2:10" x14ac:dyDescent="0.2">
      <c r="C432" s="338"/>
      <c r="D432" s="340"/>
      <c r="E432" s="340"/>
      <c r="F432" s="340"/>
      <c r="G432" s="340"/>
      <c r="H432" s="340"/>
      <c r="I432" s="340"/>
      <c r="J432" s="340"/>
    </row>
    <row r="433" spans="3:10" x14ac:dyDescent="0.2">
      <c r="C433" s="338"/>
      <c r="D433" s="340"/>
      <c r="E433" s="340"/>
      <c r="F433" s="340"/>
      <c r="G433" s="340"/>
      <c r="H433" s="340"/>
      <c r="I433" s="340"/>
      <c r="J433" s="340"/>
    </row>
  </sheetData>
  <conditionalFormatting sqref="E403:J407">
    <cfRule type="cellIs" dxfId="65" priority="27" operator="greaterThan">
      <formula>0</formula>
    </cfRule>
    <cfRule type="cellIs" dxfId="64" priority="28" operator="lessThan">
      <formula>0</formula>
    </cfRule>
  </conditionalFormatting>
  <conditionalFormatting sqref="F165:J165">
    <cfRule type="cellIs" dxfId="63" priority="25" operator="equal">
      <formula>0</formula>
    </cfRule>
    <cfRule type="cellIs" dxfId="62" priority="26" operator="equal">
      <formula>1</formula>
    </cfRule>
  </conditionalFormatting>
  <conditionalFormatting sqref="D117">
    <cfRule type="cellIs" dxfId="61" priority="22" operator="equal">
      <formula>"Base"</formula>
    </cfRule>
    <cfRule type="cellIs" dxfId="60" priority="23" operator="equal">
      <formula>"Downside"</formula>
    </cfRule>
    <cfRule type="cellIs" dxfId="59" priority="24" operator="equal">
      <formula>"Upside"</formula>
    </cfRule>
  </conditionalFormatting>
  <conditionalFormatting sqref="H336:J336 H340:J340">
    <cfRule type="cellIs" dxfId="58" priority="20" operator="equal">
      <formula>0</formula>
    </cfRule>
    <cfRule type="cellIs" dxfId="57" priority="21" operator="equal">
      <formula>1</formula>
    </cfRule>
  </conditionalFormatting>
  <conditionalFormatting sqref="F313:J313">
    <cfRule type="cellIs" dxfId="56" priority="18" operator="equal">
      <formula>0</formula>
    </cfRule>
    <cfRule type="cellIs" dxfId="55" priority="19" operator="equal">
      <formula>1</formula>
    </cfRule>
  </conditionalFormatting>
  <conditionalFormatting sqref="G339:J339">
    <cfRule type="cellIs" dxfId="54" priority="16" operator="equal">
      <formula>"Breached"</formula>
    </cfRule>
    <cfRule type="cellIs" dxfId="53" priority="17" operator="equal">
      <formula>"Passed"</formula>
    </cfRule>
  </conditionalFormatting>
  <conditionalFormatting sqref="G341:J341">
    <cfRule type="cellIs" dxfId="52" priority="10" operator="equal">
      <formula>"Breached"</formula>
    </cfRule>
    <cfRule type="cellIs" dxfId="51" priority="11" operator="equal">
      <formula>"Passed"</formula>
    </cfRule>
  </conditionalFormatting>
  <conditionalFormatting sqref="H341:J341">
    <cfRule type="cellIs" dxfId="50" priority="14" operator="equal">
      <formula>"Breached"</formula>
    </cfRule>
    <cfRule type="cellIs" dxfId="49" priority="15" operator="equal">
      <formula>"Passed"</formula>
    </cfRule>
  </conditionalFormatting>
  <conditionalFormatting sqref="G339:J339">
    <cfRule type="cellIs" dxfId="48" priority="12" operator="equal">
      <formula>"Breached"</formula>
    </cfRule>
    <cfRule type="cellIs" dxfId="47" priority="13" operator="equal">
      <formula>"Passed"</formula>
    </cfRule>
  </conditionalFormatting>
  <conditionalFormatting sqref="D230">
    <cfRule type="cellIs" dxfId="46" priority="7" operator="equal">
      <formula>"Base"</formula>
    </cfRule>
    <cfRule type="cellIs" dxfId="45" priority="8" operator="equal">
      <formula>"Downside"</formula>
    </cfRule>
    <cfRule type="cellIs" dxfId="44" priority="9" operator="equal">
      <formula>"Upside"</formula>
    </cfRule>
  </conditionalFormatting>
  <conditionalFormatting sqref="G341">
    <cfRule type="cellIs" dxfId="43" priority="5" operator="equal">
      <formula>"Breached"</formula>
    </cfRule>
    <cfRule type="cellIs" dxfId="42" priority="6" operator="equal">
      <formula>"Passed"</formula>
    </cfRule>
  </conditionalFormatting>
  <conditionalFormatting sqref="F169:J169">
    <cfRule type="cellIs" dxfId="41" priority="3" operator="equal">
      <formula>0</formula>
    </cfRule>
    <cfRule type="cellIs" dxfId="40" priority="4" operator="equal">
      <formula>1</formula>
    </cfRule>
  </conditionalFormatting>
  <conditionalFormatting sqref="H342:J342">
    <cfRule type="cellIs" dxfId="39" priority="1" operator="equal">
      <formula>0</formula>
    </cfRule>
    <cfRule type="cellIs" dxfId="38" priority="2" operator="equal">
      <formula>1</formula>
    </cfRule>
  </conditionalFormatting>
  <conditionalFormatting sqref="F393:F394">
    <cfRule type="top10" dxfId="37" priority="29" percent="1" rank="10"/>
  </conditionalFormatting>
  <conditionalFormatting sqref="G393:G394">
    <cfRule type="top10" dxfId="36" priority="30" percent="1" rank="10"/>
  </conditionalFormatting>
  <conditionalFormatting sqref="H393:H394">
    <cfRule type="top10" dxfId="35" priority="31" percent="1" rank="10"/>
  </conditionalFormatting>
  <conditionalFormatting sqref="I393:I394">
    <cfRule type="top10" dxfId="34" priority="32" percent="1" rank="10"/>
  </conditionalFormatting>
  <conditionalFormatting sqref="J393:J394">
    <cfRule type="top10" dxfId="33" priority="33" percent="1" rank="10"/>
  </conditionalFormatting>
  <dataValidations count="2">
    <dataValidation type="list" showInputMessage="1" showErrorMessage="1" sqref="J35" xr:uid="{DE30BD7A-7287-46E5-A6FE-A4D0FC57225D}">
      <formula1>"N/A ,2021,2022,2023,2024,2025"</formula1>
    </dataValidation>
    <dataValidation type="list" showInputMessage="1" showErrorMessage="1" sqref="E36" xr:uid="{26E57DE1-8B10-405F-8870-6D84B03AD7B3}">
      <formula1>"N/A ,2023,2024,2025"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F4E3C-2DEB-481A-B600-1E45B707C090}">
  <sheetPr>
    <tabColor theme="8" tint="0.79998168889431442"/>
  </sheetPr>
  <dimension ref="A1:N433"/>
  <sheetViews>
    <sheetView showGridLines="0" zoomScaleNormal="100" zoomScaleSheetLayoutView="50" workbookViewId="0"/>
  </sheetViews>
  <sheetFormatPr defaultColWidth="8.85546875" defaultRowHeight="12.75" x14ac:dyDescent="0.2"/>
  <cols>
    <col min="1" max="1" width="1.7109375" style="318" bestFit="1" customWidth="1"/>
    <col min="2" max="2" width="20.7109375" customWidth="1"/>
    <col min="3" max="10" width="10.7109375" customWidth="1"/>
  </cols>
  <sheetData>
    <row r="1" spans="1:14" x14ac:dyDescent="0.2">
      <c r="A1" s="399"/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x14ac:dyDescent="0.2">
      <c r="A2" s="399"/>
      <c r="B2" s="358" t="s">
        <v>309</v>
      </c>
      <c r="C2" s="373"/>
      <c r="D2" s="373"/>
      <c r="E2" s="373"/>
      <c r="F2" s="373"/>
      <c r="G2" s="373"/>
      <c r="H2" s="373"/>
      <c r="I2" s="373"/>
      <c r="J2" s="373"/>
      <c r="K2" s="246"/>
      <c r="L2" s="246"/>
      <c r="M2" s="246"/>
      <c r="N2" s="246"/>
    </row>
    <row r="3" spans="1:14" x14ac:dyDescent="0.2">
      <c r="A3" s="399"/>
      <c r="B3" s="248" t="s">
        <v>0</v>
      </c>
      <c r="C3" s="374"/>
      <c r="D3" s="374"/>
      <c r="E3" s="374"/>
      <c r="F3" s="374"/>
      <c r="G3" s="374"/>
      <c r="H3" s="374"/>
      <c r="I3" s="374"/>
      <c r="J3" s="374"/>
      <c r="K3" s="246"/>
      <c r="L3" s="246"/>
      <c r="M3" s="246"/>
      <c r="N3" s="246"/>
    </row>
    <row r="4" spans="1:14" x14ac:dyDescent="0.2">
      <c r="A4" s="399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</row>
    <row r="5" spans="1:14" x14ac:dyDescent="0.2">
      <c r="A5" s="318" t="s">
        <v>310</v>
      </c>
      <c r="B5" s="416" t="s">
        <v>1</v>
      </c>
      <c r="C5" s="417"/>
      <c r="D5" s="417"/>
      <c r="E5" s="417"/>
      <c r="F5" s="417"/>
      <c r="G5" s="409"/>
      <c r="H5" s="409"/>
      <c r="I5" s="409"/>
      <c r="J5" s="409"/>
      <c r="K5" s="246"/>
      <c r="L5" s="246"/>
      <c r="M5" s="246"/>
      <c r="N5" s="246"/>
    </row>
    <row r="6" spans="1:14" x14ac:dyDescent="0.2">
      <c r="A6" s="399"/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</row>
    <row r="7" spans="1:14" x14ac:dyDescent="0.2">
      <c r="A7" s="399"/>
      <c r="B7" s="3" t="s">
        <v>2</v>
      </c>
      <c r="C7" s="375"/>
      <c r="D7" s="375"/>
      <c r="E7" s="375"/>
      <c r="F7" s="246"/>
      <c r="G7" s="3" t="s">
        <v>3</v>
      </c>
      <c r="H7" s="375"/>
      <c r="I7" s="375"/>
      <c r="J7" s="375"/>
      <c r="K7" s="246"/>
      <c r="L7" s="246"/>
      <c r="M7" s="246"/>
      <c r="N7" s="246"/>
    </row>
    <row r="8" spans="1:14" x14ac:dyDescent="0.2">
      <c r="A8" s="399"/>
      <c r="B8" t="s">
        <v>4</v>
      </c>
      <c r="C8" s="246"/>
      <c r="D8" s="246"/>
      <c r="E8" s="4">
        <v>12</v>
      </c>
      <c r="F8" s="246"/>
      <c r="G8" t="s">
        <v>5</v>
      </c>
      <c r="H8" s="246"/>
      <c r="I8" s="246"/>
      <c r="J8" s="5">
        <v>315</v>
      </c>
      <c r="K8" s="246"/>
      <c r="L8" s="246"/>
      <c r="M8" s="246"/>
      <c r="N8" s="246"/>
    </row>
    <row r="9" spans="1:14" x14ac:dyDescent="0.2">
      <c r="A9" s="399"/>
      <c r="B9" t="s">
        <v>6</v>
      </c>
      <c r="C9" s="246"/>
      <c r="D9" s="246"/>
      <c r="E9" s="6">
        <f>+E8*(1+E10)</f>
        <v>15</v>
      </c>
      <c r="F9" s="246"/>
      <c r="G9" s="245" t="s">
        <v>7</v>
      </c>
      <c r="H9" s="329"/>
      <c r="I9" s="329"/>
      <c r="J9" s="7">
        <f>+J16</f>
        <v>2.9666666666666668</v>
      </c>
      <c r="K9" s="246"/>
      <c r="L9" s="246"/>
      <c r="M9" s="246"/>
      <c r="N9" s="246"/>
    </row>
    <row r="10" spans="1:14" x14ac:dyDescent="0.2">
      <c r="A10" s="399"/>
      <c r="B10" s="251" t="s">
        <v>8</v>
      </c>
      <c r="C10" s="377"/>
      <c r="D10" s="377"/>
      <c r="E10" s="21">
        <v>0.25</v>
      </c>
      <c r="F10" s="246"/>
      <c r="G10" s="8" t="s">
        <v>9</v>
      </c>
      <c r="H10" s="122"/>
      <c r="I10" s="122"/>
      <c r="J10" s="9">
        <f>+J8+J9</f>
        <v>317.96666666666664</v>
      </c>
      <c r="K10" s="246"/>
      <c r="L10" s="246"/>
      <c r="M10" s="246"/>
      <c r="N10" s="246"/>
    </row>
    <row r="11" spans="1:14" x14ac:dyDescent="0.2">
      <c r="A11" s="399"/>
      <c r="B11" s="245" t="s">
        <v>9</v>
      </c>
      <c r="C11" s="329"/>
      <c r="D11" s="329"/>
      <c r="E11" s="7">
        <f>+J10</f>
        <v>317.96666666666664</v>
      </c>
      <c r="F11" s="246"/>
      <c r="G11" s="246"/>
      <c r="H11" s="246"/>
      <c r="I11" s="246"/>
      <c r="J11" s="246"/>
      <c r="K11" s="246"/>
      <c r="L11" s="246"/>
      <c r="M11" s="246"/>
      <c r="N11" s="246"/>
    </row>
    <row r="12" spans="1:14" x14ac:dyDescent="0.2">
      <c r="A12" s="399"/>
      <c r="B12" s="10" t="s">
        <v>10</v>
      </c>
      <c r="C12" s="122"/>
      <c r="D12" s="122"/>
      <c r="E12" s="11">
        <f>+E9*E11</f>
        <v>4769.5</v>
      </c>
      <c r="F12" s="246"/>
      <c r="G12" s="12" t="s">
        <v>11</v>
      </c>
      <c r="H12" s="13" t="s">
        <v>12</v>
      </c>
      <c r="I12" s="13" t="s">
        <v>13</v>
      </c>
      <c r="J12" s="13" t="s">
        <v>14</v>
      </c>
      <c r="K12" s="246"/>
      <c r="L12" s="246"/>
      <c r="M12" s="246"/>
      <c r="N12" s="246"/>
    </row>
    <row r="13" spans="1:14" x14ac:dyDescent="0.2">
      <c r="A13" s="399"/>
      <c r="B13" s="245" t="s">
        <v>15</v>
      </c>
      <c r="C13" s="329"/>
      <c r="D13" s="329"/>
      <c r="E13" s="7">
        <f>SUM(G83,G89:G90)-G72</f>
        <v>250</v>
      </c>
      <c r="F13" s="246"/>
      <c r="G13" s="259">
        <v>1</v>
      </c>
      <c r="H13" s="14">
        <v>1</v>
      </c>
      <c r="I13" s="15">
        <v>3</v>
      </c>
      <c r="J13" s="341">
        <f>IF(I13&lt;$E$9,H13-(I13*H13)/$E$9,0)</f>
        <v>0.8</v>
      </c>
      <c r="K13" s="246"/>
      <c r="L13" s="246"/>
      <c r="M13" s="246"/>
      <c r="N13" s="246"/>
    </row>
    <row r="14" spans="1:14" x14ac:dyDescent="0.2">
      <c r="A14" s="399"/>
      <c r="B14" s="8" t="s">
        <v>16</v>
      </c>
      <c r="C14" s="122"/>
      <c r="D14" s="122"/>
      <c r="E14" s="11">
        <f>SUM(E12:E13)</f>
        <v>5019.5</v>
      </c>
      <c r="F14" s="246"/>
      <c r="G14" s="259">
        <f>+G13+1</f>
        <v>2</v>
      </c>
      <c r="H14" s="14">
        <v>2</v>
      </c>
      <c r="I14" s="15">
        <v>5</v>
      </c>
      <c r="J14" s="341">
        <f>IF(I14&lt;$E$9,H14-(I14*H14)/$E$9,0)</f>
        <v>1.3333333333333335</v>
      </c>
      <c r="K14" s="246"/>
      <c r="L14" s="246"/>
      <c r="M14" s="246"/>
      <c r="N14" s="246"/>
    </row>
    <row r="15" spans="1:14" x14ac:dyDescent="0.2">
      <c r="A15" s="399"/>
      <c r="B15" s="245" t="s">
        <v>17</v>
      </c>
      <c r="C15" s="329"/>
      <c r="D15" s="329"/>
      <c r="E15" s="7">
        <f>+E190</f>
        <v>345</v>
      </c>
      <c r="F15" s="246"/>
      <c r="G15" s="261">
        <f>+G14+1</f>
        <v>3</v>
      </c>
      <c r="H15" s="16">
        <v>2.5</v>
      </c>
      <c r="I15" s="17">
        <v>10</v>
      </c>
      <c r="J15" s="342">
        <f>IF(I15&lt;$E$9,H15-(I15*H15)/$E$9,0)</f>
        <v>0.83333333333333326</v>
      </c>
      <c r="K15" s="246"/>
      <c r="L15" s="246"/>
      <c r="M15" s="246"/>
      <c r="N15" s="246"/>
    </row>
    <row r="16" spans="1:14" x14ac:dyDescent="0.2">
      <c r="A16" s="399"/>
      <c r="B16" s="8" t="s">
        <v>18</v>
      </c>
      <c r="C16" s="122"/>
      <c r="D16" s="122"/>
      <c r="E16" s="18">
        <f>+E14/E15</f>
        <v>14.549275362318841</v>
      </c>
      <c r="F16" s="246"/>
      <c r="G16" s="8" t="s">
        <v>19</v>
      </c>
      <c r="H16" s="376"/>
      <c r="I16" s="376"/>
      <c r="J16" s="20">
        <f>SUM(J13:J15)</f>
        <v>2.9666666666666668</v>
      </c>
      <c r="K16" s="246"/>
      <c r="L16" s="246"/>
      <c r="M16" s="246"/>
      <c r="N16" s="246"/>
    </row>
    <row r="17" spans="1:14" x14ac:dyDescent="0.2">
      <c r="A17" s="399"/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</row>
    <row r="18" spans="1:14" x14ac:dyDescent="0.2">
      <c r="A18" s="399"/>
      <c r="B18" s="3" t="s">
        <v>20</v>
      </c>
      <c r="C18" s="375"/>
      <c r="D18" s="375"/>
      <c r="E18" s="375"/>
      <c r="F18" s="246"/>
      <c r="G18" s="3" t="s">
        <v>21</v>
      </c>
      <c r="H18" s="375"/>
      <c r="I18" s="375"/>
      <c r="J18" s="375"/>
      <c r="K18" s="246"/>
      <c r="L18" s="246"/>
      <c r="M18" s="246"/>
      <c r="N18" s="246"/>
    </row>
    <row r="19" spans="1:14" x14ac:dyDescent="0.2">
      <c r="A19" s="399"/>
      <c r="B19" t="s">
        <v>22</v>
      </c>
      <c r="C19" s="246"/>
      <c r="D19" s="246"/>
      <c r="E19" s="21">
        <v>2.5000000000000001E-2</v>
      </c>
      <c r="F19" s="246"/>
      <c r="G19" t="s">
        <v>23</v>
      </c>
      <c r="H19" s="246"/>
      <c r="I19" s="246"/>
      <c r="J19" s="22">
        <v>1000</v>
      </c>
      <c r="K19" s="246"/>
      <c r="L19" s="246"/>
      <c r="M19" s="246"/>
      <c r="N19" s="246"/>
    </row>
    <row r="20" spans="1:14" x14ac:dyDescent="0.2">
      <c r="A20" s="399"/>
      <c r="B20" t="s">
        <v>24</v>
      </c>
      <c r="C20" s="246"/>
      <c r="D20" s="246"/>
      <c r="E20" s="22">
        <v>25</v>
      </c>
      <c r="F20" s="246"/>
      <c r="G20" t="s">
        <v>25</v>
      </c>
      <c r="H20" s="246"/>
      <c r="I20" s="246"/>
      <c r="J20" s="23">
        <v>2.5000000000000001E-3</v>
      </c>
      <c r="K20" s="246"/>
      <c r="L20" s="246"/>
      <c r="M20" s="246"/>
      <c r="N20" s="246"/>
    </row>
    <row r="21" spans="1:14" x14ac:dyDescent="0.2">
      <c r="A21" s="399"/>
      <c r="B21" t="s">
        <v>26</v>
      </c>
      <c r="C21" s="246"/>
      <c r="D21" s="246"/>
      <c r="E21" s="22">
        <v>475</v>
      </c>
      <c r="F21" s="246"/>
      <c r="G21" t="s">
        <v>27</v>
      </c>
      <c r="H21" s="246"/>
      <c r="I21" s="246"/>
      <c r="J21" s="24">
        <v>8</v>
      </c>
      <c r="K21" s="246"/>
      <c r="L21" s="246"/>
      <c r="M21" s="246"/>
      <c r="N21" s="246"/>
    </row>
    <row r="22" spans="1:14" x14ac:dyDescent="0.2">
      <c r="A22" s="399"/>
      <c r="B22" t="s">
        <v>28</v>
      </c>
      <c r="C22" s="246"/>
      <c r="D22" s="246"/>
      <c r="E22" s="22">
        <v>5</v>
      </c>
      <c r="F22" s="246"/>
      <c r="G22" t="s">
        <v>29</v>
      </c>
      <c r="H22" s="246"/>
      <c r="I22" s="246"/>
      <c r="J22" s="25">
        <v>0.02</v>
      </c>
      <c r="K22" s="246"/>
      <c r="L22" s="246"/>
      <c r="M22" s="246"/>
      <c r="N22" s="246"/>
    </row>
    <row r="23" spans="1:14" x14ac:dyDescent="0.2">
      <c r="A23" s="399"/>
      <c r="B23" t="s">
        <v>30</v>
      </c>
      <c r="C23" s="246"/>
      <c r="D23" s="246"/>
      <c r="E23" s="21">
        <v>0.25</v>
      </c>
      <c r="F23" s="246"/>
      <c r="G23" t="s">
        <v>311</v>
      </c>
      <c r="H23" s="246"/>
      <c r="I23" s="246"/>
      <c r="J23" s="372">
        <v>1</v>
      </c>
      <c r="K23" s="246"/>
      <c r="L23" s="246"/>
      <c r="M23" s="246"/>
      <c r="N23" s="246"/>
    </row>
    <row r="24" spans="1:14" x14ac:dyDescent="0.2">
      <c r="A24" s="399"/>
      <c r="B24" s="246"/>
      <c r="C24" s="246"/>
      <c r="D24" s="246"/>
      <c r="E24" s="5"/>
      <c r="F24" s="246"/>
      <c r="G24" s="246"/>
      <c r="H24" s="246"/>
      <c r="I24" s="246"/>
      <c r="J24" s="378"/>
      <c r="K24" s="246"/>
      <c r="L24" s="246"/>
      <c r="M24" s="246"/>
      <c r="N24" s="246"/>
    </row>
    <row r="25" spans="1:14" x14ac:dyDescent="0.2">
      <c r="A25" s="399"/>
      <c r="B25" s="3" t="s">
        <v>32</v>
      </c>
      <c r="C25" s="375"/>
      <c r="D25" s="375"/>
      <c r="E25" s="375"/>
      <c r="F25" s="375"/>
      <c r="G25" s="375"/>
      <c r="H25" s="375"/>
      <c r="I25" s="375"/>
      <c r="J25" s="375"/>
      <c r="K25" s="246"/>
      <c r="L25" s="246"/>
      <c r="M25" s="246"/>
      <c r="N25" s="246"/>
    </row>
    <row r="26" spans="1:14" x14ac:dyDescent="0.2">
      <c r="A26" s="399"/>
      <c r="B26" s="1" t="s">
        <v>33</v>
      </c>
      <c r="C26" s="381"/>
      <c r="D26" s="27" t="s">
        <v>34</v>
      </c>
      <c r="E26" s="27" t="s">
        <v>35</v>
      </c>
      <c r="F26" s="27" t="s">
        <v>36</v>
      </c>
      <c r="G26" s="28" t="s">
        <v>37</v>
      </c>
      <c r="H26" s="28" t="s">
        <v>38</v>
      </c>
      <c r="I26" s="28" t="s">
        <v>39</v>
      </c>
      <c r="J26" s="28" t="s">
        <v>40</v>
      </c>
      <c r="K26" s="246"/>
      <c r="L26" s="246"/>
      <c r="M26" s="246"/>
      <c r="N26" s="246"/>
    </row>
    <row r="27" spans="1:14" x14ac:dyDescent="0.2">
      <c r="A27" s="399"/>
      <c r="B27" t="s">
        <v>41</v>
      </c>
      <c r="C27" s="246"/>
      <c r="D27" s="29">
        <v>0</v>
      </c>
      <c r="E27" s="30">
        <v>400</v>
      </c>
      <c r="F27" s="31">
        <v>0</v>
      </c>
      <c r="G27" s="31">
        <v>0</v>
      </c>
      <c r="H27" s="32">
        <v>0</v>
      </c>
      <c r="I27" s="266">
        <f>(100-H27)/100*E42</f>
        <v>0</v>
      </c>
      <c r="J27" s="266">
        <f>+($J$22*E42)+I27</f>
        <v>0</v>
      </c>
      <c r="K27" s="246"/>
      <c r="L27" s="246"/>
      <c r="M27" s="246"/>
      <c r="N27" s="246"/>
    </row>
    <row r="28" spans="1:14" x14ac:dyDescent="0.2">
      <c r="A28" s="399"/>
      <c r="B28" t="s">
        <v>42</v>
      </c>
      <c r="C28" s="246"/>
      <c r="D28" s="29">
        <v>6</v>
      </c>
      <c r="E28" s="30">
        <v>400</v>
      </c>
      <c r="F28" s="31">
        <v>0.01</v>
      </c>
      <c r="G28" s="31">
        <v>0.05</v>
      </c>
      <c r="H28" s="33">
        <v>99</v>
      </c>
      <c r="I28" s="246">
        <f>(100-H28)/100*E43</f>
        <v>20.7</v>
      </c>
      <c r="J28" s="246">
        <f>+($J$22*E43)+I28</f>
        <v>62.099999999999994</v>
      </c>
      <c r="K28" s="246"/>
      <c r="L28" s="246"/>
      <c r="M28" s="246"/>
      <c r="N28" s="246"/>
    </row>
    <row r="29" spans="1:14" x14ac:dyDescent="0.2">
      <c r="A29" s="399"/>
      <c r="B29" s="245" t="s">
        <v>43</v>
      </c>
      <c r="C29" s="329"/>
      <c r="D29" s="34">
        <v>0</v>
      </c>
      <c r="E29" s="35">
        <v>8.5000000000000006E-2</v>
      </c>
      <c r="F29" s="35">
        <v>0</v>
      </c>
      <c r="G29" s="35">
        <v>0</v>
      </c>
      <c r="H29" s="36">
        <v>0</v>
      </c>
      <c r="I29" s="37">
        <v>0</v>
      </c>
      <c r="J29" s="37">
        <v>0</v>
      </c>
      <c r="K29" s="246"/>
      <c r="L29" s="246"/>
      <c r="M29" s="246"/>
      <c r="N29" s="246"/>
    </row>
    <row r="30" spans="1:14" x14ac:dyDescent="0.2">
      <c r="A30" s="399"/>
      <c r="B30" s="8" t="s">
        <v>44</v>
      </c>
      <c r="C30" s="246"/>
      <c r="D30" s="38">
        <f>SUM(D27:D29)</f>
        <v>6</v>
      </c>
      <c r="E30" s="122"/>
      <c r="F30" s="376"/>
      <c r="G30" s="246"/>
      <c r="H30" s="246"/>
      <c r="I30" s="246"/>
      <c r="J30" s="11">
        <f>SUM(J27:J29)</f>
        <v>62.099999999999994</v>
      </c>
      <c r="K30" s="246"/>
      <c r="L30" s="246"/>
      <c r="M30" s="246"/>
      <c r="N30" s="246"/>
    </row>
    <row r="31" spans="1:14" x14ac:dyDescent="0.2">
      <c r="A31" s="399"/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</row>
    <row r="32" spans="1:14" x14ac:dyDescent="0.2">
      <c r="A32" s="399"/>
      <c r="B32" s="3" t="s">
        <v>45</v>
      </c>
      <c r="C32" s="375"/>
      <c r="D32" s="375"/>
      <c r="E32" s="375"/>
      <c r="F32" s="246"/>
      <c r="G32" s="3" t="s">
        <v>46</v>
      </c>
      <c r="H32" s="375"/>
      <c r="I32" s="375"/>
      <c r="J32" s="375"/>
      <c r="K32" s="246"/>
      <c r="L32" s="246"/>
      <c r="M32" s="246"/>
      <c r="N32" s="246"/>
    </row>
    <row r="33" spans="1:14" x14ac:dyDescent="0.2">
      <c r="A33" s="399"/>
      <c r="B33" t="s">
        <v>47</v>
      </c>
      <c r="C33" s="246"/>
      <c r="D33" s="246"/>
      <c r="E33" s="39">
        <v>1</v>
      </c>
      <c r="F33" s="246"/>
      <c r="G33" t="s">
        <v>48</v>
      </c>
      <c r="H33" s="246"/>
      <c r="I33" s="246"/>
      <c r="J33" s="39">
        <v>1</v>
      </c>
      <c r="K33" s="246"/>
      <c r="L33" s="246"/>
      <c r="M33" s="246"/>
      <c r="N33" s="246"/>
    </row>
    <row r="34" spans="1:14" x14ac:dyDescent="0.2">
      <c r="A34" s="399"/>
      <c r="B34" t="s">
        <v>49</v>
      </c>
      <c r="C34" s="246"/>
      <c r="D34" s="246"/>
      <c r="E34" s="40">
        <f>+D30</f>
        <v>6</v>
      </c>
      <c r="F34" s="246"/>
      <c r="G34" t="s">
        <v>50</v>
      </c>
      <c r="H34" s="246"/>
      <c r="I34" s="246"/>
      <c r="J34" s="41">
        <v>9.5</v>
      </c>
      <c r="K34" s="246"/>
      <c r="L34" s="246"/>
      <c r="M34" s="246"/>
      <c r="N34" s="246"/>
    </row>
    <row r="35" spans="1:14" x14ac:dyDescent="0.2">
      <c r="A35" s="399"/>
      <c r="B35" t="s">
        <v>51</v>
      </c>
      <c r="C35" s="246"/>
      <c r="D35" s="246"/>
      <c r="E35" s="42">
        <v>2</v>
      </c>
      <c r="F35" s="246"/>
      <c r="G35" t="s">
        <v>52</v>
      </c>
      <c r="H35" s="246"/>
      <c r="I35" s="246"/>
      <c r="J35" s="43">
        <v>2021</v>
      </c>
      <c r="K35" s="246"/>
      <c r="L35" s="246"/>
      <c r="M35" s="246"/>
      <c r="N35" s="246"/>
    </row>
    <row r="36" spans="1:14" x14ac:dyDescent="0.2">
      <c r="A36" s="399"/>
      <c r="B36" t="s">
        <v>53</v>
      </c>
      <c r="C36" s="246"/>
      <c r="D36" s="246"/>
      <c r="E36" s="43">
        <v>2024</v>
      </c>
      <c r="F36" s="246"/>
      <c r="G36" s="246"/>
      <c r="H36" s="246"/>
      <c r="I36" s="246"/>
      <c r="J36" s="246"/>
      <c r="K36" s="246"/>
      <c r="L36" s="246"/>
      <c r="M36" s="246"/>
      <c r="N36" s="246"/>
    </row>
    <row r="37" spans="1:14" x14ac:dyDescent="0.2">
      <c r="A37" s="399"/>
      <c r="B37" s="246"/>
      <c r="C37" s="246"/>
      <c r="D37" s="246"/>
      <c r="E37" s="246"/>
      <c r="F37" s="246"/>
      <c r="G37" s="246"/>
      <c r="H37" s="246"/>
      <c r="I37" s="246"/>
      <c r="J37" s="379"/>
      <c r="K37" s="246"/>
      <c r="L37" s="246"/>
      <c r="M37" s="246"/>
      <c r="N37" s="246"/>
    </row>
    <row r="38" spans="1:14" x14ac:dyDescent="0.2">
      <c r="A38" s="318" t="s">
        <v>310</v>
      </c>
      <c r="B38" s="416" t="s">
        <v>312</v>
      </c>
      <c r="C38" s="417"/>
      <c r="D38" s="417"/>
      <c r="E38" s="417"/>
      <c r="F38" s="417"/>
      <c r="G38" s="409"/>
      <c r="H38" s="409"/>
      <c r="I38" s="409"/>
      <c r="J38" s="409"/>
      <c r="K38" s="246"/>
      <c r="L38" s="246"/>
      <c r="M38" s="246"/>
      <c r="N38" s="246"/>
    </row>
    <row r="39" spans="1:14" x14ac:dyDescent="0.2">
      <c r="A39" s="399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</row>
    <row r="40" spans="1:14" x14ac:dyDescent="0.2">
      <c r="A40" s="399"/>
      <c r="B40" s="3" t="s">
        <v>54</v>
      </c>
      <c r="C40" s="375"/>
      <c r="D40" s="375"/>
      <c r="E40" s="375"/>
      <c r="F40" s="380"/>
      <c r="G40" s="375"/>
      <c r="H40" s="375"/>
      <c r="I40" s="375"/>
      <c r="J40" s="375"/>
      <c r="K40" s="246"/>
      <c r="L40" s="246"/>
      <c r="M40" s="246"/>
      <c r="N40" s="246"/>
    </row>
    <row r="41" spans="1:14" x14ac:dyDescent="0.2">
      <c r="A41" s="399"/>
      <c r="B41" s="1" t="s">
        <v>55</v>
      </c>
      <c r="C41" s="381"/>
      <c r="D41" s="381"/>
      <c r="E41" s="27" t="s">
        <v>56</v>
      </c>
      <c r="F41" s="246"/>
      <c r="G41" s="45" t="s">
        <v>57</v>
      </c>
      <c r="H41" s="381"/>
      <c r="I41" s="381"/>
      <c r="J41" s="27" t="s">
        <v>56</v>
      </c>
      <c r="K41" s="246"/>
      <c r="L41" s="246"/>
      <c r="M41" s="246"/>
      <c r="N41" s="246"/>
    </row>
    <row r="42" spans="1:14" x14ac:dyDescent="0.2">
      <c r="A42" s="399"/>
      <c r="B42" t="s">
        <v>41</v>
      </c>
      <c r="C42" s="246"/>
      <c r="D42" s="246"/>
      <c r="E42" s="46">
        <f>+D27*E15</f>
        <v>0</v>
      </c>
      <c r="F42" s="246"/>
      <c r="G42" t="s">
        <v>58</v>
      </c>
      <c r="H42" s="246"/>
      <c r="I42" s="246"/>
      <c r="J42" s="46">
        <f>+E12</f>
        <v>4769.5</v>
      </c>
      <c r="K42" s="246"/>
      <c r="L42" s="246"/>
      <c r="M42" s="246"/>
      <c r="N42" s="246"/>
    </row>
    <row r="43" spans="1:14" x14ac:dyDescent="0.2">
      <c r="A43" s="399"/>
      <c r="B43" s="245" t="s">
        <v>42</v>
      </c>
      <c r="C43" s="329"/>
      <c r="D43" s="329"/>
      <c r="E43" s="47">
        <f>+D28*E15</f>
        <v>2070</v>
      </c>
      <c r="F43" s="246"/>
      <c r="G43" t="s">
        <v>59</v>
      </c>
      <c r="H43" s="246"/>
      <c r="I43" s="246"/>
      <c r="J43" s="246">
        <f>+E13</f>
        <v>250</v>
      </c>
      <c r="K43" s="246"/>
      <c r="L43" s="246"/>
      <c r="M43" s="246"/>
      <c r="N43" s="246"/>
    </row>
    <row r="44" spans="1:14" x14ac:dyDescent="0.2">
      <c r="A44" s="399"/>
      <c r="B44" s="8" t="s">
        <v>44</v>
      </c>
      <c r="C44" s="122"/>
      <c r="D44" s="122"/>
      <c r="E44" s="11">
        <f>+SUM(E42:E43)</f>
        <v>2070</v>
      </c>
      <c r="F44" s="246"/>
      <c r="G44" t="s">
        <v>24</v>
      </c>
      <c r="H44" s="246"/>
      <c r="I44" s="246"/>
      <c r="J44" s="246">
        <f>+E20</f>
        <v>25</v>
      </c>
      <c r="K44" s="246"/>
      <c r="L44" s="246"/>
      <c r="M44" s="246"/>
      <c r="N44" s="246"/>
    </row>
    <row r="45" spans="1:14" x14ac:dyDescent="0.2">
      <c r="A45" s="399"/>
      <c r="B45" t="s">
        <v>60</v>
      </c>
      <c r="C45" s="246"/>
      <c r="D45" s="246"/>
      <c r="E45" s="32">
        <f>+E47-E46</f>
        <v>2680.8375000000005</v>
      </c>
      <c r="F45" s="246"/>
      <c r="G45" t="s">
        <v>61</v>
      </c>
      <c r="H45" s="246"/>
      <c r="I45" s="246"/>
      <c r="J45" s="32">
        <f>+E12*E19</f>
        <v>119.23750000000001</v>
      </c>
      <c r="K45" s="246"/>
      <c r="L45" s="246"/>
      <c r="M45" s="246"/>
      <c r="N45" s="246"/>
    </row>
    <row r="46" spans="1:14" x14ac:dyDescent="0.2">
      <c r="A46" s="399"/>
      <c r="B46" s="245" t="s">
        <v>62</v>
      </c>
      <c r="C46" s="329"/>
      <c r="D46" s="329"/>
      <c r="E46" s="47">
        <f>+E21</f>
        <v>475</v>
      </c>
      <c r="F46" s="246"/>
      <c r="G46" s="245" t="s">
        <v>315</v>
      </c>
      <c r="H46" s="329"/>
      <c r="I46" s="329"/>
      <c r="J46" s="47">
        <f>+J30</f>
        <v>62.099999999999994</v>
      </c>
      <c r="K46" s="246"/>
      <c r="L46" s="246"/>
      <c r="M46" s="246"/>
      <c r="N46" s="246"/>
    </row>
    <row r="47" spans="1:14" x14ac:dyDescent="0.2">
      <c r="A47" s="399"/>
      <c r="B47" s="8" t="s">
        <v>64</v>
      </c>
      <c r="C47" s="122"/>
      <c r="D47" s="122"/>
      <c r="E47" s="11">
        <f>+E49-E44</f>
        <v>3155.8375000000005</v>
      </c>
      <c r="F47" s="246"/>
      <c r="G47" s="8" t="s">
        <v>65</v>
      </c>
      <c r="H47" s="122"/>
      <c r="I47" s="122"/>
      <c r="J47" s="11">
        <f>+SUM(J42:J46)</f>
        <v>5225.8375000000005</v>
      </c>
      <c r="K47" s="246"/>
      <c r="L47" s="246"/>
      <c r="M47" s="246"/>
      <c r="N47" s="246"/>
    </row>
    <row r="48" spans="1:14" x14ac:dyDescent="0.2">
      <c r="A48" s="399"/>
      <c r="B48" s="329"/>
      <c r="C48" s="329"/>
      <c r="D48" s="329"/>
      <c r="E48" s="329"/>
      <c r="F48" s="246"/>
      <c r="G48" s="246"/>
      <c r="H48" s="246"/>
      <c r="I48" s="246"/>
      <c r="J48" s="246"/>
      <c r="K48" s="246"/>
      <c r="L48" s="246"/>
      <c r="M48" s="246"/>
      <c r="N48" s="246"/>
    </row>
    <row r="49" spans="1:14" x14ac:dyDescent="0.2">
      <c r="A49" s="399"/>
      <c r="B49" s="8" t="s">
        <v>66</v>
      </c>
      <c r="C49" s="122"/>
      <c r="D49" s="122"/>
      <c r="E49" s="48">
        <f>+J47</f>
        <v>5225.8375000000005</v>
      </c>
      <c r="F49" s="246"/>
      <c r="G49" t="s">
        <v>67</v>
      </c>
      <c r="H49" s="246"/>
      <c r="I49" s="246"/>
      <c r="J49" s="32">
        <f>E49-J47</f>
        <v>0</v>
      </c>
      <c r="K49" s="246"/>
      <c r="L49" s="246"/>
      <c r="M49" s="246"/>
      <c r="N49" s="246"/>
    </row>
    <row r="50" spans="1:14" x14ac:dyDescent="0.2">
      <c r="A50" s="399"/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</row>
    <row r="51" spans="1:14" x14ac:dyDescent="0.2">
      <c r="A51" s="318" t="s">
        <v>310</v>
      </c>
      <c r="B51" s="416" t="s">
        <v>68</v>
      </c>
      <c r="C51" s="417"/>
      <c r="D51" s="417"/>
      <c r="E51" s="417"/>
      <c r="F51" s="417"/>
      <c r="G51" s="417"/>
      <c r="H51" s="417"/>
      <c r="I51" s="417"/>
      <c r="J51" s="417"/>
      <c r="K51" s="246"/>
      <c r="L51" s="246"/>
      <c r="M51" s="246"/>
      <c r="N51" s="246"/>
    </row>
    <row r="52" spans="1:14" x14ac:dyDescent="0.2">
      <c r="A52" s="399"/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</row>
    <row r="53" spans="1:14" x14ac:dyDescent="0.2">
      <c r="A53" s="399"/>
      <c r="B53" s="3" t="s">
        <v>69</v>
      </c>
      <c r="C53" s="375"/>
      <c r="D53" s="375"/>
      <c r="E53" s="375"/>
      <c r="F53" s="246"/>
      <c r="G53" s="3" t="s">
        <v>70</v>
      </c>
      <c r="H53" s="375"/>
      <c r="I53" s="375"/>
      <c r="J53" s="375"/>
      <c r="K53" s="246"/>
      <c r="L53" s="246"/>
      <c r="M53" s="246"/>
      <c r="N53" s="246"/>
    </row>
    <row r="54" spans="1:14" x14ac:dyDescent="0.2">
      <c r="A54" s="399"/>
      <c r="B54" s="244" t="s">
        <v>58</v>
      </c>
      <c r="C54" s="246"/>
      <c r="D54" s="246"/>
      <c r="E54" s="46">
        <f>+E12</f>
        <v>4769.5</v>
      </c>
      <c r="F54" s="246"/>
      <c r="G54" s="244" t="s">
        <v>71</v>
      </c>
      <c r="H54" s="246"/>
      <c r="I54" s="246"/>
      <c r="J54" s="49">
        <v>0.1</v>
      </c>
      <c r="K54" s="246"/>
      <c r="L54" s="246"/>
      <c r="M54" s="246"/>
      <c r="N54" s="246"/>
    </row>
    <row r="55" spans="1:14" x14ac:dyDescent="0.2">
      <c r="A55" s="399"/>
      <c r="B55" s="244" t="s">
        <v>72</v>
      </c>
      <c r="C55" s="246"/>
      <c r="D55" s="246"/>
      <c r="E55" s="32">
        <f>-G95</f>
        <v>-1100</v>
      </c>
      <c r="F55" s="246"/>
      <c r="G55" s="244" t="s">
        <v>73</v>
      </c>
      <c r="H55" s="246"/>
      <c r="I55" s="246"/>
      <c r="J55" s="50">
        <v>15</v>
      </c>
      <c r="K55" s="246"/>
      <c r="L55" s="246"/>
      <c r="M55" s="246"/>
      <c r="N55" s="246"/>
    </row>
    <row r="56" spans="1:14" x14ac:dyDescent="0.2">
      <c r="A56" s="399"/>
      <c r="B56" s="265" t="s">
        <v>74</v>
      </c>
      <c r="C56" s="329"/>
      <c r="D56" s="329"/>
      <c r="E56" s="47">
        <f>G79</f>
        <v>200</v>
      </c>
      <c r="F56" s="246"/>
      <c r="G56" s="244" t="s">
        <v>75</v>
      </c>
      <c r="H56" s="246"/>
      <c r="I56" s="246"/>
      <c r="J56" s="266">
        <f>-E58/J55</f>
        <v>25.79666666666667</v>
      </c>
      <c r="K56" s="246"/>
      <c r="L56" s="246"/>
      <c r="M56" s="246"/>
      <c r="N56" s="246"/>
    </row>
    <row r="57" spans="1:14" x14ac:dyDescent="0.2">
      <c r="A57" s="399"/>
      <c r="B57" s="10" t="s">
        <v>76</v>
      </c>
      <c r="C57" s="122"/>
      <c r="D57" s="246"/>
      <c r="E57" s="11">
        <f>+SUM(E54:E56)</f>
        <v>3869.5</v>
      </c>
      <c r="F57" s="246"/>
      <c r="G57" s="244" t="s">
        <v>77</v>
      </c>
      <c r="H57" s="246"/>
      <c r="I57" s="246"/>
      <c r="J57" s="266">
        <f>-E58*E23</f>
        <v>96.737500000000011</v>
      </c>
      <c r="K57" s="246"/>
      <c r="L57" s="246"/>
      <c r="M57" s="246"/>
      <c r="N57" s="246"/>
    </row>
    <row r="58" spans="1:14" x14ac:dyDescent="0.2">
      <c r="A58" s="399"/>
      <c r="B58" s="244" t="s">
        <v>78</v>
      </c>
      <c r="C58" s="246"/>
      <c r="D58" s="246"/>
      <c r="E58" s="32">
        <f>-J54*E57</f>
        <v>-386.95000000000005</v>
      </c>
      <c r="F58" s="246"/>
      <c r="G58" s="244" t="s">
        <v>79</v>
      </c>
      <c r="H58" s="246"/>
      <c r="I58" s="246"/>
      <c r="J58" s="266">
        <f>+J57/J55</f>
        <v>6.4491666666666676</v>
      </c>
      <c r="K58" s="246"/>
      <c r="L58" s="246"/>
      <c r="M58" s="246"/>
      <c r="N58" s="246"/>
    </row>
    <row r="59" spans="1:14" x14ac:dyDescent="0.2">
      <c r="A59" s="399"/>
      <c r="B59" s="244" t="s">
        <v>80</v>
      </c>
      <c r="C59" s="246"/>
      <c r="D59" s="246"/>
      <c r="E59" s="32">
        <f>-J61*G78</f>
        <v>-100</v>
      </c>
      <c r="F59" s="246"/>
      <c r="G59" s="379"/>
      <c r="H59" s="379"/>
      <c r="I59" s="379"/>
      <c r="J59" s="379"/>
      <c r="K59" s="246"/>
      <c r="L59" s="246"/>
      <c r="M59" s="246"/>
      <c r="N59" s="246"/>
    </row>
    <row r="60" spans="1:14" x14ac:dyDescent="0.2">
      <c r="A60" s="399"/>
      <c r="B60" s="265" t="s">
        <v>81</v>
      </c>
      <c r="C60" s="329"/>
      <c r="D60" s="329"/>
      <c r="E60" s="47">
        <f>+J57+J64</f>
        <v>121.73750000000001</v>
      </c>
      <c r="F60" s="246"/>
      <c r="G60" s="3" t="s">
        <v>82</v>
      </c>
      <c r="H60" s="375"/>
      <c r="I60" s="375"/>
      <c r="J60" s="375"/>
      <c r="K60" s="246"/>
      <c r="L60" s="246"/>
      <c r="M60" s="246"/>
      <c r="N60" s="246"/>
    </row>
    <row r="61" spans="1:14" x14ac:dyDescent="0.2">
      <c r="A61" s="399"/>
      <c r="B61" s="10" t="s">
        <v>83</v>
      </c>
      <c r="C61" s="122"/>
      <c r="D61" s="246"/>
      <c r="E61" s="11">
        <f>SUM(E57:E60)</f>
        <v>3504.2875000000004</v>
      </c>
      <c r="F61" s="246"/>
      <c r="G61" s="244" t="s">
        <v>84</v>
      </c>
      <c r="H61" s="246"/>
      <c r="I61" s="246"/>
      <c r="J61" s="51">
        <v>0.1</v>
      </c>
      <c r="K61" s="246"/>
      <c r="L61" s="246"/>
      <c r="M61" s="246"/>
      <c r="N61" s="246"/>
    </row>
    <row r="62" spans="1:14" x14ac:dyDescent="0.2">
      <c r="A62" s="399"/>
      <c r="B62" s="246"/>
      <c r="C62" s="246"/>
      <c r="D62" s="246"/>
      <c r="E62" s="246"/>
      <c r="F62" s="246"/>
      <c r="G62" s="244" t="s">
        <v>73</v>
      </c>
      <c r="H62" s="246"/>
      <c r="I62" s="246"/>
      <c r="J62" s="52">
        <v>8</v>
      </c>
      <c r="K62" s="246"/>
      <c r="L62" s="246"/>
      <c r="M62" s="246"/>
      <c r="N62" s="246"/>
    </row>
    <row r="63" spans="1:14" x14ac:dyDescent="0.2">
      <c r="A63" s="399"/>
      <c r="B63" s="246"/>
      <c r="C63" s="246"/>
      <c r="D63" s="246"/>
      <c r="E63" s="246"/>
      <c r="F63" s="246"/>
      <c r="G63" s="244" t="s">
        <v>85</v>
      </c>
      <c r="H63" s="246"/>
      <c r="I63" s="246"/>
      <c r="J63" s="266">
        <f>-E59/J62</f>
        <v>12.5</v>
      </c>
      <c r="K63" s="246"/>
      <c r="L63" s="246"/>
      <c r="M63" s="246"/>
      <c r="N63" s="246"/>
    </row>
    <row r="64" spans="1:14" x14ac:dyDescent="0.2">
      <c r="A64" s="399"/>
      <c r="B64" s="246"/>
      <c r="C64" s="246"/>
      <c r="D64" s="246"/>
      <c r="E64" s="246"/>
      <c r="F64" s="246"/>
      <c r="G64" s="244" t="s">
        <v>77</v>
      </c>
      <c r="H64" s="246"/>
      <c r="I64" s="246"/>
      <c r="J64" s="266">
        <f>-E59*E23</f>
        <v>25</v>
      </c>
      <c r="K64" s="246"/>
      <c r="L64" s="246"/>
      <c r="M64" s="246"/>
      <c r="N64" s="246"/>
    </row>
    <row r="65" spans="1:14" x14ac:dyDescent="0.2">
      <c r="A65" s="399"/>
      <c r="B65" s="246"/>
      <c r="C65" s="246"/>
      <c r="D65" s="246"/>
      <c r="E65" s="246"/>
      <c r="F65" s="246"/>
      <c r="G65" s="244" t="s">
        <v>79</v>
      </c>
      <c r="H65" s="246"/>
      <c r="I65" s="246"/>
      <c r="J65" s="266">
        <f>+J64/J62</f>
        <v>3.125</v>
      </c>
      <c r="K65" s="246"/>
      <c r="L65" s="246"/>
      <c r="M65" s="246"/>
      <c r="N65" s="246"/>
    </row>
    <row r="66" spans="1:14" x14ac:dyDescent="0.2">
      <c r="A66" s="399"/>
      <c r="B66" s="246"/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</row>
    <row r="67" spans="1:14" x14ac:dyDescent="0.2">
      <c r="A67" s="318" t="s">
        <v>310</v>
      </c>
      <c r="B67" s="416" t="s">
        <v>86</v>
      </c>
      <c r="C67" s="417"/>
      <c r="D67" s="417"/>
      <c r="E67" s="417"/>
      <c r="F67" s="417"/>
      <c r="G67" s="417"/>
      <c r="H67" s="417"/>
      <c r="I67" s="417"/>
      <c r="J67" s="417"/>
      <c r="K67" s="246"/>
      <c r="L67" s="246"/>
      <c r="M67" s="246"/>
      <c r="N67" s="246"/>
    </row>
    <row r="68" spans="1:14" x14ac:dyDescent="0.2">
      <c r="A68" s="399"/>
      <c r="B68" s="246"/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</row>
    <row r="69" spans="1:14" x14ac:dyDescent="0.2">
      <c r="A69" s="399"/>
      <c r="B69" s="3" t="s">
        <v>87</v>
      </c>
      <c r="C69" s="375"/>
      <c r="D69" s="375"/>
      <c r="E69" s="375"/>
      <c r="F69" s="375"/>
      <c r="G69" s="53">
        <v>2020</v>
      </c>
      <c r="H69" s="54" t="s">
        <v>88</v>
      </c>
      <c r="I69" s="382"/>
      <c r="J69" s="55">
        <v>2020</v>
      </c>
      <c r="K69" s="246"/>
      <c r="L69" s="246"/>
      <c r="M69" s="246"/>
      <c r="N69" s="246"/>
    </row>
    <row r="70" spans="1:14" x14ac:dyDescent="0.2">
      <c r="A70" s="399"/>
      <c r="B70" s="246"/>
      <c r="C70" s="246"/>
      <c r="D70" s="246"/>
      <c r="E70" s="246"/>
      <c r="F70" s="246"/>
      <c r="G70" s="246"/>
      <c r="H70" s="56" t="s">
        <v>89</v>
      </c>
      <c r="I70" s="57" t="s">
        <v>90</v>
      </c>
      <c r="J70" s="246"/>
      <c r="K70" s="246"/>
      <c r="L70" s="246"/>
      <c r="M70" s="246"/>
      <c r="N70" s="246"/>
    </row>
    <row r="71" spans="1:14" x14ac:dyDescent="0.2">
      <c r="A71" s="399"/>
      <c r="B71" s="246"/>
      <c r="C71" s="246"/>
      <c r="D71" s="246"/>
      <c r="E71" s="246"/>
      <c r="F71" s="246"/>
      <c r="G71" s="246"/>
      <c r="H71" s="383"/>
      <c r="I71" s="384"/>
      <c r="J71" s="246"/>
      <c r="K71" s="246"/>
      <c r="L71" s="246"/>
      <c r="M71" s="246"/>
      <c r="N71" s="246"/>
    </row>
    <row r="72" spans="1:14" x14ac:dyDescent="0.2">
      <c r="A72" s="399"/>
      <c r="B72" t="s">
        <v>91</v>
      </c>
      <c r="C72" s="246"/>
      <c r="D72" s="246"/>
      <c r="E72" s="246"/>
      <c r="F72" s="246"/>
      <c r="G72" s="60">
        <v>200</v>
      </c>
      <c r="H72" s="269">
        <f>+J44</f>
        <v>25</v>
      </c>
      <c r="I72" s="270">
        <f>-G72</f>
        <v>-200</v>
      </c>
      <c r="J72" s="46">
        <f>+SUM(G72:I72)</f>
        <v>25</v>
      </c>
      <c r="K72" s="246"/>
      <c r="L72" s="246"/>
      <c r="M72" s="246"/>
      <c r="N72" s="246"/>
    </row>
    <row r="73" spans="1:14" x14ac:dyDescent="0.2">
      <c r="A73" s="399"/>
      <c r="B73" t="s">
        <v>92</v>
      </c>
      <c r="C73" s="246"/>
      <c r="D73" s="246"/>
      <c r="E73" s="246"/>
      <c r="F73" s="246"/>
      <c r="G73" s="33">
        <v>300</v>
      </c>
      <c r="H73" s="269"/>
      <c r="I73" s="270"/>
      <c r="J73" s="32">
        <f>+SUM(G73:I73)</f>
        <v>300</v>
      </c>
      <c r="K73" s="246"/>
      <c r="L73" s="246"/>
      <c r="M73" s="246"/>
      <c r="N73" s="246"/>
    </row>
    <row r="74" spans="1:14" x14ac:dyDescent="0.2">
      <c r="A74" s="399"/>
      <c r="B74" t="s">
        <v>93</v>
      </c>
      <c r="C74" s="246"/>
      <c r="D74" s="246"/>
      <c r="E74" s="246"/>
      <c r="F74" s="246"/>
      <c r="G74" s="33">
        <v>425</v>
      </c>
      <c r="H74" s="269"/>
      <c r="I74" s="270"/>
      <c r="J74" s="32">
        <f>+SUM(G74:I74)</f>
        <v>425</v>
      </c>
      <c r="K74" s="246"/>
      <c r="L74" s="246"/>
      <c r="M74" s="246"/>
      <c r="N74" s="246"/>
    </row>
    <row r="75" spans="1:14" x14ac:dyDescent="0.2">
      <c r="A75" s="399"/>
      <c r="B75" s="245" t="s">
        <v>94</v>
      </c>
      <c r="C75" s="329"/>
      <c r="D75" s="329"/>
      <c r="E75" s="329"/>
      <c r="F75" s="329"/>
      <c r="G75" s="37">
        <v>50</v>
      </c>
      <c r="H75" s="271"/>
      <c r="I75" s="272"/>
      <c r="J75" s="47">
        <f>+SUM(G75:I75)</f>
        <v>50</v>
      </c>
      <c r="K75" s="246"/>
      <c r="L75" s="246"/>
      <c r="M75" s="246"/>
      <c r="N75" s="246"/>
    </row>
    <row r="76" spans="1:14" x14ac:dyDescent="0.2">
      <c r="A76" s="399"/>
      <c r="B76" s="8" t="s">
        <v>95</v>
      </c>
      <c r="C76" s="246"/>
      <c r="D76" s="246"/>
      <c r="E76" s="246"/>
      <c r="F76" s="246"/>
      <c r="G76" s="11">
        <f>+SUM(G72:G75)</f>
        <v>975</v>
      </c>
      <c r="H76" s="61"/>
      <c r="I76" s="62"/>
      <c r="J76" s="11">
        <f>+SUM(J72:J75)</f>
        <v>800</v>
      </c>
      <c r="K76" s="246"/>
      <c r="L76" s="246"/>
      <c r="M76" s="246"/>
      <c r="N76" s="246"/>
    </row>
    <row r="77" spans="1:14" x14ac:dyDescent="0.2">
      <c r="A77" s="399"/>
      <c r="B77" s="122"/>
      <c r="C77" s="246"/>
      <c r="D77" s="246"/>
      <c r="E77" s="246"/>
      <c r="F77" s="246"/>
      <c r="G77" s="9"/>
      <c r="H77" s="61"/>
      <c r="I77" s="62"/>
      <c r="J77" s="9"/>
      <c r="K77" s="246"/>
      <c r="L77" s="246"/>
      <c r="M77" s="246"/>
      <c r="N77" s="246"/>
    </row>
    <row r="78" spans="1:14" x14ac:dyDescent="0.2">
      <c r="A78" s="399"/>
      <c r="B78" t="s">
        <v>96</v>
      </c>
      <c r="C78" s="246"/>
      <c r="D78" s="246"/>
      <c r="E78" s="246"/>
      <c r="F78" s="246"/>
      <c r="G78" s="60">
        <v>1000</v>
      </c>
      <c r="H78" s="269">
        <f>-E59</f>
        <v>100</v>
      </c>
      <c r="I78" s="270"/>
      <c r="J78" s="46">
        <f>+SUM(G78:I78)</f>
        <v>1100</v>
      </c>
      <c r="K78" s="246"/>
      <c r="L78" s="246"/>
      <c r="M78" s="246"/>
      <c r="N78" s="246"/>
    </row>
    <row r="79" spans="1:14" x14ac:dyDescent="0.2">
      <c r="A79" s="399"/>
      <c r="B79" t="s">
        <v>97</v>
      </c>
      <c r="C79" s="246"/>
      <c r="D79" s="246"/>
      <c r="E79" s="246"/>
      <c r="F79" s="246"/>
      <c r="G79" s="33">
        <v>200</v>
      </c>
      <c r="H79" s="269">
        <f>+E61</f>
        <v>3504.2875000000004</v>
      </c>
      <c r="I79" s="270">
        <f>-G79</f>
        <v>-200</v>
      </c>
      <c r="J79" s="32">
        <f>+SUM(G79:I79)</f>
        <v>3504.2875000000004</v>
      </c>
      <c r="K79" s="246"/>
      <c r="L79" s="246"/>
      <c r="M79" s="246"/>
      <c r="N79" s="246"/>
    </row>
    <row r="80" spans="1:14" x14ac:dyDescent="0.2">
      <c r="A80" s="399"/>
      <c r="B80" s="245" t="s">
        <v>98</v>
      </c>
      <c r="C80" s="329"/>
      <c r="D80" s="329"/>
      <c r="E80" s="329"/>
      <c r="F80" s="329"/>
      <c r="G80" s="37">
        <v>0</v>
      </c>
      <c r="H80" s="271">
        <f>-E58</f>
        <v>386.95000000000005</v>
      </c>
      <c r="I80" s="272"/>
      <c r="J80" s="47">
        <f>+SUM(G80:I80)</f>
        <v>386.95000000000005</v>
      </c>
      <c r="K80" s="246"/>
      <c r="L80" s="246"/>
      <c r="M80" s="246"/>
      <c r="N80" s="246"/>
    </row>
    <row r="81" spans="1:14" x14ac:dyDescent="0.2">
      <c r="A81" s="399"/>
      <c r="B81" s="8" t="s">
        <v>99</v>
      </c>
      <c r="C81" s="246"/>
      <c r="D81" s="246"/>
      <c r="E81" s="246"/>
      <c r="F81" s="246"/>
      <c r="G81" s="11">
        <f>+SUM(G76,G78:G80)</f>
        <v>2175</v>
      </c>
      <c r="H81" s="61"/>
      <c r="I81" s="62"/>
      <c r="J81" s="11">
        <f>+SUM(J76,J78:J80)</f>
        <v>5791.2375000000002</v>
      </c>
      <c r="K81" s="246"/>
      <c r="L81" s="246"/>
      <c r="M81" s="246"/>
      <c r="N81" s="246"/>
    </row>
    <row r="82" spans="1:14" x14ac:dyDescent="0.2">
      <c r="A82" s="399"/>
      <c r="B82" s="246"/>
      <c r="C82" s="246"/>
      <c r="D82" s="246"/>
      <c r="E82" s="246"/>
      <c r="F82" s="246"/>
      <c r="G82" s="246"/>
      <c r="H82" s="274"/>
      <c r="I82" s="275"/>
      <c r="J82" s="246"/>
      <c r="K82" s="246"/>
      <c r="L82" s="246"/>
      <c r="M82" s="246"/>
      <c r="N82" s="246"/>
    </row>
    <row r="83" spans="1:14" x14ac:dyDescent="0.2">
      <c r="A83" s="399"/>
      <c r="B83" t="s">
        <v>41</v>
      </c>
      <c r="C83" s="246"/>
      <c r="D83" s="246"/>
      <c r="E83" s="246"/>
      <c r="F83" s="246"/>
      <c r="G83" s="60">
        <v>0</v>
      </c>
      <c r="H83" s="269"/>
      <c r="I83" s="270">
        <f>+E42</f>
        <v>0</v>
      </c>
      <c r="J83" s="46">
        <f>+SUM(G83:I83)</f>
        <v>0</v>
      </c>
      <c r="K83" s="246"/>
      <c r="L83" s="246"/>
      <c r="M83" s="246"/>
      <c r="N83" s="246"/>
    </row>
    <row r="84" spans="1:14" x14ac:dyDescent="0.2">
      <c r="A84" s="399"/>
      <c r="B84" t="s">
        <v>100</v>
      </c>
      <c r="C84" s="246"/>
      <c r="D84" s="246"/>
      <c r="E84" s="246"/>
      <c r="F84" s="246"/>
      <c r="G84" s="33">
        <v>350</v>
      </c>
      <c r="H84" s="269"/>
      <c r="I84" s="270"/>
      <c r="J84" s="32">
        <f>+SUM(G84:I84)</f>
        <v>350</v>
      </c>
      <c r="K84" s="246"/>
      <c r="L84" s="246"/>
      <c r="M84" s="246"/>
      <c r="N84" s="246"/>
    </row>
    <row r="85" spans="1:14" x14ac:dyDescent="0.2">
      <c r="A85" s="399"/>
      <c r="B85" t="s">
        <v>101</v>
      </c>
      <c r="C85" s="246"/>
      <c r="D85" s="246"/>
      <c r="E85" s="246"/>
      <c r="F85" s="246"/>
      <c r="G85" s="33">
        <v>200</v>
      </c>
      <c r="H85" s="269"/>
      <c r="I85" s="270"/>
      <c r="J85" s="32">
        <f>+SUM(G85:I85)</f>
        <v>200</v>
      </c>
      <c r="K85" s="246"/>
      <c r="L85" s="246"/>
      <c r="M85" s="246"/>
      <c r="N85" s="246"/>
    </row>
    <row r="86" spans="1:14" x14ac:dyDescent="0.2">
      <c r="A86" s="399"/>
      <c r="B86" s="245" t="s">
        <v>102</v>
      </c>
      <c r="C86" s="329"/>
      <c r="D86" s="329"/>
      <c r="E86" s="329"/>
      <c r="F86" s="329"/>
      <c r="G86" s="37">
        <v>75</v>
      </c>
      <c r="H86" s="271"/>
      <c r="I86" s="272"/>
      <c r="J86" s="47">
        <f>+SUM(G86:I86)</f>
        <v>75</v>
      </c>
      <c r="K86" s="246"/>
      <c r="L86" s="246"/>
      <c r="M86" s="246"/>
      <c r="N86" s="246"/>
    </row>
    <row r="87" spans="1:14" x14ac:dyDescent="0.2">
      <c r="A87" s="399"/>
      <c r="B87" s="8" t="s">
        <v>103</v>
      </c>
      <c r="C87" s="246"/>
      <c r="D87" s="246"/>
      <c r="E87" s="246"/>
      <c r="F87" s="246"/>
      <c r="G87" s="11">
        <f>+SUM(G83:G86)</f>
        <v>625</v>
      </c>
      <c r="H87" s="61"/>
      <c r="I87" s="62"/>
      <c r="J87" s="11">
        <f>+SUM(J83:J86)</f>
        <v>625</v>
      </c>
      <c r="K87" s="246"/>
      <c r="L87" s="246"/>
      <c r="M87" s="246"/>
      <c r="N87" s="246"/>
    </row>
    <row r="88" spans="1:14" x14ac:dyDescent="0.2">
      <c r="A88" s="399"/>
      <c r="B88" s="122"/>
      <c r="C88" s="246"/>
      <c r="D88" s="246"/>
      <c r="E88" s="246"/>
      <c r="F88" s="246"/>
      <c r="G88" s="9"/>
      <c r="H88" s="61"/>
      <c r="I88" s="62"/>
      <c r="J88" s="9"/>
      <c r="K88" s="246"/>
      <c r="L88" s="246"/>
      <c r="M88" s="246"/>
      <c r="N88" s="246"/>
    </row>
    <row r="89" spans="1:14" x14ac:dyDescent="0.2">
      <c r="A89" s="399"/>
      <c r="B89" t="s">
        <v>104</v>
      </c>
      <c r="C89" s="246"/>
      <c r="D89" s="246"/>
      <c r="E89" s="246"/>
      <c r="F89" s="246"/>
      <c r="G89" s="60">
        <v>450</v>
      </c>
      <c r="H89" s="269">
        <f>-G89</f>
        <v>-450</v>
      </c>
      <c r="I89" s="270"/>
      <c r="J89" s="46">
        <f>+SUM(G89:I89)</f>
        <v>0</v>
      </c>
      <c r="K89" s="246"/>
      <c r="L89" s="246"/>
      <c r="M89" s="246"/>
      <c r="N89" s="246"/>
    </row>
    <row r="90" spans="1:14" x14ac:dyDescent="0.2">
      <c r="A90" s="399"/>
      <c r="B90" t="s">
        <v>42</v>
      </c>
      <c r="C90" s="246"/>
      <c r="D90" s="246"/>
      <c r="E90" s="246"/>
      <c r="F90" s="246"/>
      <c r="G90" s="33">
        <v>0</v>
      </c>
      <c r="H90" s="269"/>
      <c r="I90" s="270">
        <f>+E43</f>
        <v>2070</v>
      </c>
      <c r="J90" s="32">
        <f>+SUM(G90:I90)</f>
        <v>2070</v>
      </c>
      <c r="K90" s="246"/>
      <c r="L90" s="246"/>
      <c r="M90" s="246"/>
      <c r="N90" s="246"/>
    </row>
    <row r="91" spans="1:14" x14ac:dyDescent="0.2">
      <c r="A91" s="399"/>
      <c r="B91" t="s">
        <v>105</v>
      </c>
      <c r="C91" s="246"/>
      <c r="D91" s="246"/>
      <c r="E91" s="246"/>
      <c r="F91" s="246"/>
      <c r="G91" s="33">
        <v>0</v>
      </c>
      <c r="H91" s="269">
        <f>-J30</f>
        <v>-62.099999999999994</v>
      </c>
      <c r="I91" s="270"/>
      <c r="J91" s="32">
        <f>+SUM(G91:I91)</f>
        <v>-62.099999999999994</v>
      </c>
      <c r="K91" s="246"/>
      <c r="L91" s="246"/>
      <c r="M91" s="246"/>
      <c r="N91" s="246"/>
    </row>
    <row r="92" spans="1:14" x14ac:dyDescent="0.2">
      <c r="A92" s="399"/>
      <c r="B92" s="245" t="s">
        <v>106</v>
      </c>
      <c r="C92" s="329"/>
      <c r="D92" s="329"/>
      <c r="E92" s="329"/>
      <c r="F92" s="329"/>
      <c r="G92" s="37">
        <v>0</v>
      </c>
      <c r="H92" s="271"/>
      <c r="I92" s="272">
        <f>+E60</f>
        <v>121.73750000000001</v>
      </c>
      <c r="J92" s="47">
        <f>+SUM(G92:I92)</f>
        <v>121.73750000000001</v>
      </c>
      <c r="K92" s="246"/>
      <c r="L92" s="246"/>
      <c r="M92" s="246"/>
      <c r="N92" s="246"/>
    </row>
    <row r="93" spans="1:14" x14ac:dyDescent="0.2">
      <c r="A93" s="399"/>
      <c r="B93" s="8" t="s">
        <v>107</v>
      </c>
      <c r="C93" s="246"/>
      <c r="D93" s="246"/>
      <c r="E93" s="246"/>
      <c r="F93" s="246"/>
      <c r="G93" s="11">
        <f>+SUM(G87,G89:G92)</f>
        <v>1075</v>
      </c>
      <c r="H93" s="61"/>
      <c r="I93" s="62"/>
      <c r="J93" s="11">
        <f>+SUM(J87,J89:J92)</f>
        <v>2754.6375000000003</v>
      </c>
      <c r="K93" s="246"/>
      <c r="L93" s="246"/>
      <c r="M93" s="246"/>
      <c r="N93" s="246"/>
    </row>
    <row r="94" spans="1:14" x14ac:dyDescent="0.2">
      <c r="A94" s="399"/>
      <c r="B94" s="122"/>
      <c r="C94" s="246"/>
      <c r="D94" s="246"/>
      <c r="E94" s="246"/>
      <c r="F94" s="246"/>
      <c r="G94" s="9"/>
      <c r="H94" s="61"/>
      <c r="I94" s="62"/>
      <c r="J94" s="9"/>
      <c r="K94" s="246"/>
      <c r="L94" s="246"/>
      <c r="M94" s="246"/>
      <c r="N94" s="246"/>
    </row>
    <row r="95" spans="1:14" x14ac:dyDescent="0.2">
      <c r="A95" s="399"/>
      <c r="B95" s="245" t="s">
        <v>108</v>
      </c>
      <c r="C95" s="329"/>
      <c r="D95" s="329"/>
      <c r="E95" s="329"/>
      <c r="F95" s="329"/>
      <c r="G95" s="37">
        <v>1100</v>
      </c>
      <c r="H95" s="271">
        <f>-G95-J45</f>
        <v>-1219.2375</v>
      </c>
      <c r="I95" s="272">
        <f>+E47</f>
        <v>3155.8375000000005</v>
      </c>
      <c r="J95" s="47">
        <f>+SUM(G95:I95)</f>
        <v>3036.6000000000004</v>
      </c>
      <c r="K95" s="246"/>
      <c r="L95" s="246"/>
      <c r="M95" s="246"/>
      <c r="N95" s="246"/>
    </row>
    <row r="96" spans="1:14" x14ac:dyDescent="0.2">
      <c r="A96" s="399"/>
      <c r="B96" s="8" t="s">
        <v>109</v>
      </c>
      <c r="C96" s="246"/>
      <c r="D96" s="246"/>
      <c r="E96" s="246"/>
      <c r="F96" s="246"/>
      <c r="G96" s="11">
        <f>+SUM(G93,G95)</f>
        <v>2175</v>
      </c>
      <c r="H96" s="63"/>
      <c r="I96" s="64"/>
      <c r="J96" s="11">
        <f>+SUM(J93,J95)</f>
        <v>5791.2375000000011</v>
      </c>
      <c r="K96" s="246"/>
      <c r="L96" s="246"/>
      <c r="M96" s="246"/>
      <c r="N96" s="246"/>
    </row>
    <row r="97" spans="1:14" x14ac:dyDescent="0.2">
      <c r="A97" s="399"/>
      <c r="B97" s="246"/>
      <c r="C97" s="246"/>
      <c r="D97" s="246"/>
      <c r="E97" s="246"/>
      <c r="F97" s="246"/>
      <c r="G97" s="246"/>
      <c r="H97" s="246"/>
      <c r="I97" s="246"/>
      <c r="J97" s="246"/>
      <c r="K97" s="246"/>
      <c r="L97" s="246"/>
      <c r="M97" s="246"/>
      <c r="N97" s="246"/>
    </row>
    <row r="98" spans="1:14" x14ac:dyDescent="0.2">
      <c r="A98" s="399"/>
      <c r="B98" t="s">
        <v>110</v>
      </c>
      <c r="C98" s="246"/>
      <c r="D98" s="246"/>
      <c r="E98" s="246"/>
      <c r="F98" s="246"/>
      <c r="G98" s="32">
        <f>+G81-G96</f>
        <v>0</v>
      </c>
      <c r="H98" s="32"/>
      <c r="I98" s="32"/>
      <c r="J98" s="32">
        <f>+J81-J96</f>
        <v>0</v>
      </c>
      <c r="K98" s="246"/>
      <c r="L98" s="246"/>
      <c r="M98" s="246"/>
      <c r="N98" s="246"/>
    </row>
    <row r="99" spans="1:14" x14ac:dyDescent="0.2">
      <c r="A99" s="399"/>
      <c r="B99" s="246"/>
      <c r="C99" s="246"/>
      <c r="D99" s="246"/>
      <c r="E99" s="246"/>
      <c r="F99" s="246"/>
      <c r="G99" s="32"/>
      <c r="H99" s="32"/>
      <c r="I99" s="32"/>
      <c r="J99" s="32"/>
      <c r="K99" s="246"/>
      <c r="L99" s="246"/>
      <c r="M99" s="246"/>
      <c r="N99" s="246"/>
    </row>
    <row r="100" spans="1:14" x14ac:dyDescent="0.2">
      <c r="A100" s="318" t="s">
        <v>310</v>
      </c>
      <c r="B100" s="416" t="s">
        <v>111</v>
      </c>
      <c r="C100" s="409"/>
      <c r="D100" s="409"/>
      <c r="E100" s="409"/>
      <c r="F100" s="409"/>
      <c r="G100" s="418"/>
      <c r="H100" s="418"/>
      <c r="I100" s="418"/>
      <c r="J100" s="418"/>
      <c r="K100" s="246"/>
      <c r="L100" s="246"/>
      <c r="M100" s="246"/>
      <c r="N100" s="246"/>
    </row>
    <row r="101" spans="1:14" x14ac:dyDescent="0.2">
      <c r="A101" s="399"/>
      <c r="B101" s="246"/>
      <c r="C101" s="246"/>
      <c r="D101" s="246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</row>
    <row r="102" spans="1:14" x14ac:dyDescent="0.2">
      <c r="A102" s="399"/>
      <c r="B102" s="3" t="s">
        <v>112</v>
      </c>
      <c r="C102" s="375"/>
      <c r="D102" s="375"/>
      <c r="E102" s="53">
        <v>2020</v>
      </c>
      <c r="F102" s="65">
        <f>+E102+1</f>
        <v>2021</v>
      </c>
      <c r="G102" s="65">
        <f>+F102+1</f>
        <v>2022</v>
      </c>
      <c r="H102" s="65">
        <f>+G102+1</f>
        <v>2023</v>
      </c>
      <c r="I102" s="65">
        <f>+H102+1</f>
        <v>2024</v>
      </c>
      <c r="J102" s="65">
        <f>+I102+1</f>
        <v>2025</v>
      </c>
      <c r="K102" s="246"/>
      <c r="L102" s="246"/>
      <c r="M102" s="246"/>
      <c r="N102" s="246"/>
    </row>
    <row r="103" spans="1:14" x14ac:dyDescent="0.2">
      <c r="A103" s="399"/>
      <c r="B103" s="246"/>
      <c r="C103" s="246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</row>
    <row r="104" spans="1:14" x14ac:dyDescent="0.2">
      <c r="A104" s="399"/>
      <c r="B104" s="8" t="s">
        <v>113</v>
      </c>
      <c r="C104" s="246"/>
      <c r="D104" s="246"/>
      <c r="E104" s="66">
        <v>100</v>
      </c>
      <c r="F104" s="266">
        <f ca="1">+F121*F124</f>
        <v>172.125</v>
      </c>
      <c r="G104" s="266">
        <f ca="1">+G121*G124</f>
        <v>261</v>
      </c>
      <c r="H104" s="266">
        <f ca="1">+H121*H124</f>
        <v>368.125</v>
      </c>
      <c r="I104" s="266">
        <f ca="1">+I121*I124</f>
        <v>495</v>
      </c>
      <c r="J104" s="266">
        <f ca="1">+J121*J124</f>
        <v>643.125</v>
      </c>
      <c r="K104" s="246"/>
      <c r="L104" s="246"/>
      <c r="M104" s="246"/>
      <c r="N104" s="246"/>
    </row>
    <row r="105" spans="1:14" x14ac:dyDescent="0.2">
      <c r="A105" s="399"/>
      <c r="B105" s="251" t="s">
        <v>114</v>
      </c>
      <c r="C105" s="246"/>
      <c r="D105" s="246"/>
      <c r="E105" s="286" t="str">
        <f t="shared" ref="E105:J105" si="0">+IFERROR(E104/D104-1,"N/A")</f>
        <v>N/A</v>
      </c>
      <c r="F105" s="286">
        <f t="shared" ca="1" si="0"/>
        <v>0.72124999999999995</v>
      </c>
      <c r="G105" s="286">
        <f t="shared" ca="1" si="0"/>
        <v>0.51633986928104569</v>
      </c>
      <c r="H105" s="286">
        <f t="shared" ca="1" si="0"/>
        <v>0.41044061302681989</v>
      </c>
      <c r="I105" s="286">
        <f t="shared" ca="1" si="0"/>
        <v>0.34465195246179969</v>
      </c>
      <c r="J105" s="286">
        <f t="shared" ca="1" si="0"/>
        <v>0.29924242424242431</v>
      </c>
      <c r="K105" s="246"/>
      <c r="L105" s="246"/>
      <c r="M105" s="246"/>
      <c r="N105" s="246"/>
    </row>
    <row r="106" spans="1:14" x14ac:dyDescent="0.2">
      <c r="A106" s="399"/>
      <c r="B106" s="377"/>
      <c r="C106" s="246"/>
      <c r="D106" s="246"/>
      <c r="E106" s="33"/>
      <c r="F106" s="246"/>
      <c r="G106" s="246"/>
      <c r="H106" s="246"/>
      <c r="I106" s="246"/>
      <c r="J106" s="246"/>
      <c r="K106" s="246"/>
      <c r="L106" s="246"/>
      <c r="M106" s="246"/>
      <c r="N106" s="246"/>
    </row>
    <row r="107" spans="1:14" x14ac:dyDescent="0.2">
      <c r="A107" s="399"/>
      <c r="B107" s="245" t="s">
        <v>115</v>
      </c>
      <c r="C107" s="329"/>
      <c r="D107" s="329"/>
      <c r="E107" s="47">
        <f t="shared" ref="E107:J107" si="1">+E108-E104</f>
        <v>-70</v>
      </c>
      <c r="F107" s="329">
        <f t="shared" ca="1" si="1"/>
        <v>-111.88124999999999</v>
      </c>
      <c r="G107" s="329">
        <f t="shared" ca="1" si="1"/>
        <v>-169.65</v>
      </c>
      <c r="H107" s="329">
        <f t="shared" ca="1" si="1"/>
        <v>-239.28125</v>
      </c>
      <c r="I107" s="329">
        <f t="shared" ca="1" si="1"/>
        <v>-321.75</v>
      </c>
      <c r="J107" s="329">
        <f t="shared" ca="1" si="1"/>
        <v>-418.03125</v>
      </c>
      <c r="K107" s="246"/>
      <c r="L107" s="246"/>
      <c r="M107" s="246"/>
      <c r="N107" s="246"/>
    </row>
    <row r="108" spans="1:14" x14ac:dyDescent="0.2">
      <c r="A108" s="399"/>
      <c r="B108" s="8" t="s">
        <v>116</v>
      </c>
      <c r="C108" s="122"/>
      <c r="D108" s="122"/>
      <c r="E108" s="66">
        <v>30</v>
      </c>
      <c r="F108" s="48">
        <f ca="1">+F148*F104</f>
        <v>60.243749999999999</v>
      </c>
      <c r="G108" s="48">
        <f ca="1">+G148*G104</f>
        <v>91.35</v>
      </c>
      <c r="H108" s="48">
        <f ca="1">+H148*H104</f>
        <v>128.84375</v>
      </c>
      <c r="I108" s="48">
        <f ca="1">+I148*I104</f>
        <v>173.25</v>
      </c>
      <c r="J108" s="48">
        <f ca="1">+J148*J104</f>
        <v>225.09374999999997</v>
      </c>
      <c r="K108" s="246"/>
      <c r="L108" s="246"/>
      <c r="M108" s="246"/>
      <c r="N108" s="246"/>
    </row>
    <row r="109" spans="1:14" x14ac:dyDescent="0.2">
      <c r="A109" s="399"/>
      <c r="B109" s="251" t="s">
        <v>117</v>
      </c>
      <c r="C109" s="246"/>
      <c r="D109" s="246"/>
      <c r="E109" s="278">
        <f t="shared" ref="E109:J109" si="2">+E108/E$104</f>
        <v>0.3</v>
      </c>
      <c r="F109" s="278">
        <f t="shared" ca="1" si="2"/>
        <v>0.35</v>
      </c>
      <c r="G109" s="278">
        <f t="shared" ca="1" si="2"/>
        <v>0.35</v>
      </c>
      <c r="H109" s="278">
        <f t="shared" ca="1" si="2"/>
        <v>0.35</v>
      </c>
      <c r="I109" s="278">
        <f t="shared" ca="1" si="2"/>
        <v>0.35</v>
      </c>
      <c r="J109" s="278">
        <f t="shared" ca="1" si="2"/>
        <v>0.35</v>
      </c>
      <c r="K109" s="246"/>
      <c r="L109" s="246"/>
      <c r="M109" s="246"/>
      <c r="N109" s="246"/>
    </row>
    <row r="110" spans="1:14" x14ac:dyDescent="0.2">
      <c r="A110" s="399"/>
      <c r="B110" s="377"/>
      <c r="C110" s="246"/>
      <c r="D110" s="246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</row>
    <row r="111" spans="1:14" x14ac:dyDescent="0.2">
      <c r="A111" s="399"/>
      <c r="B111" t="s">
        <v>118</v>
      </c>
      <c r="C111" s="246"/>
      <c r="D111" s="246"/>
      <c r="E111" s="33">
        <v>-10</v>
      </c>
      <c r="F111" s="246">
        <f ca="1">-F153*F104</f>
        <v>-12.909374999999999</v>
      </c>
      <c r="G111" s="246">
        <f ca="1">-G153*G104</f>
        <v>-19.574999999999999</v>
      </c>
      <c r="H111" s="246">
        <f ca="1">-H153*H104</f>
        <v>-27.609375</v>
      </c>
      <c r="I111" s="246">
        <f ca="1">-I153*I104</f>
        <v>-37.125</v>
      </c>
      <c r="J111" s="246">
        <f ca="1">-J153*J104</f>
        <v>-48.234375</v>
      </c>
      <c r="K111" s="246"/>
      <c r="L111" s="246"/>
      <c r="M111" s="246"/>
      <c r="N111" s="246"/>
    </row>
    <row r="112" spans="1:14" x14ac:dyDescent="0.2">
      <c r="A112" s="399"/>
      <c r="B112" s="245" t="s">
        <v>119</v>
      </c>
      <c r="C112" s="329"/>
      <c r="D112" s="329"/>
      <c r="E112" s="37">
        <v>-5</v>
      </c>
      <c r="F112" s="329">
        <f ca="1">-F158*F104</f>
        <v>-4.3031250000000005</v>
      </c>
      <c r="G112" s="329">
        <f ca="1">-G158*G104</f>
        <v>-6.5250000000000004</v>
      </c>
      <c r="H112" s="329">
        <f ca="1">-H158*H104</f>
        <v>-9.203125</v>
      </c>
      <c r="I112" s="329">
        <f ca="1">-I158*I104</f>
        <v>-12.375</v>
      </c>
      <c r="J112" s="329">
        <f ca="1">-J158*J104</f>
        <v>-16.078125</v>
      </c>
      <c r="K112" s="246"/>
      <c r="L112" s="246"/>
      <c r="M112" s="246"/>
      <c r="N112" s="246"/>
    </row>
    <row r="113" spans="1:14" x14ac:dyDescent="0.2">
      <c r="A113" s="399"/>
      <c r="B113" s="8" t="s">
        <v>120</v>
      </c>
      <c r="C113" s="122"/>
      <c r="D113" s="122"/>
      <c r="E113" s="48">
        <f t="shared" ref="E113:J113" si="3">+E108+E111+E112</f>
        <v>15</v>
      </c>
      <c r="F113" s="48">
        <f t="shared" ca="1" si="3"/>
        <v>43.03125</v>
      </c>
      <c r="G113" s="48">
        <f t="shared" ca="1" si="3"/>
        <v>65.249999999999986</v>
      </c>
      <c r="H113" s="48">
        <f t="shared" ca="1" si="3"/>
        <v>92.03125</v>
      </c>
      <c r="I113" s="48">
        <f t="shared" ca="1" si="3"/>
        <v>123.75</v>
      </c>
      <c r="J113" s="48">
        <f t="shared" ca="1" si="3"/>
        <v>160.78124999999997</v>
      </c>
      <c r="K113" s="246"/>
      <c r="L113" s="246"/>
      <c r="M113" s="246"/>
      <c r="N113" s="246"/>
    </row>
    <row r="114" spans="1:14" x14ac:dyDescent="0.2">
      <c r="A114" s="399"/>
      <c r="B114" s="251" t="s">
        <v>121</v>
      </c>
      <c r="C114" s="246"/>
      <c r="D114" s="246"/>
      <c r="E114" s="278">
        <f t="shared" ref="E114:J114" si="4">+E113/E$104</f>
        <v>0.15</v>
      </c>
      <c r="F114" s="278">
        <f t="shared" ca="1" si="4"/>
        <v>0.25</v>
      </c>
      <c r="G114" s="278">
        <f t="shared" ca="1" si="4"/>
        <v>0.24999999999999994</v>
      </c>
      <c r="H114" s="278">
        <f t="shared" ca="1" si="4"/>
        <v>0.25</v>
      </c>
      <c r="I114" s="278">
        <f t="shared" ca="1" si="4"/>
        <v>0.25</v>
      </c>
      <c r="J114" s="278">
        <f t="shared" ca="1" si="4"/>
        <v>0.24999999999999994</v>
      </c>
      <c r="K114" s="246"/>
      <c r="L114" s="246"/>
      <c r="M114" s="246"/>
      <c r="N114" s="246"/>
    </row>
    <row r="115" spans="1:14" x14ac:dyDescent="0.2">
      <c r="A115" s="399"/>
      <c r="B115" s="122"/>
      <c r="C115" s="246"/>
      <c r="D115" s="385"/>
      <c r="E115" s="33"/>
      <c r="F115" s="246"/>
      <c r="G115" s="246"/>
      <c r="H115" s="246"/>
      <c r="I115" s="246"/>
      <c r="J115" s="246"/>
      <c r="K115" s="246"/>
      <c r="L115" s="246"/>
      <c r="M115" s="246"/>
      <c r="N115" s="246"/>
    </row>
    <row r="116" spans="1:14" x14ac:dyDescent="0.2">
      <c r="A116" s="399"/>
      <c r="B116" t="s">
        <v>122</v>
      </c>
      <c r="C116" s="246"/>
      <c r="D116" s="68">
        <v>2</v>
      </c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</row>
    <row r="117" spans="1:14" x14ac:dyDescent="0.2">
      <c r="A117" s="399"/>
      <c r="B117" t="s">
        <v>123</v>
      </c>
      <c r="C117" s="246"/>
      <c r="D117" s="282" t="str">
        <f>+IF(D116=1,"Base",IF(D116=2,"Upside",IF(D116=3,"Downside","None")))</f>
        <v>Upside</v>
      </c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</row>
    <row r="118" spans="1:14" x14ac:dyDescent="0.2">
      <c r="A118" s="399"/>
      <c r="B118" s="246"/>
      <c r="C118" s="246"/>
      <c r="D118" s="393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</row>
    <row r="119" spans="1:14" x14ac:dyDescent="0.2">
      <c r="A119" s="399"/>
      <c r="B119" s="69" t="s">
        <v>124</v>
      </c>
      <c r="C119" s="387"/>
      <c r="D119" s="394"/>
      <c r="E119" s="386"/>
      <c r="F119" s="387"/>
      <c r="G119" s="387"/>
      <c r="H119" s="387"/>
      <c r="I119" s="387"/>
      <c r="J119" s="387"/>
      <c r="K119" s="246"/>
      <c r="L119" s="246"/>
      <c r="M119" s="246"/>
      <c r="N119" s="246"/>
    </row>
    <row r="120" spans="1:14" x14ac:dyDescent="0.2">
      <c r="A120" s="399"/>
      <c r="B120" s="389"/>
      <c r="C120" s="389"/>
      <c r="D120" s="246"/>
      <c r="E120" s="388"/>
      <c r="F120" s="122"/>
      <c r="G120" s="122"/>
      <c r="H120" s="122"/>
      <c r="I120" s="122"/>
      <c r="J120" s="122"/>
      <c r="K120" s="246"/>
      <c r="L120" s="246"/>
      <c r="M120" s="246"/>
      <c r="N120" s="246"/>
    </row>
    <row r="121" spans="1:14" x14ac:dyDescent="0.2">
      <c r="A121" s="399"/>
      <c r="B121" t="s">
        <v>125</v>
      </c>
      <c r="C121" s="246"/>
      <c r="D121" s="246"/>
      <c r="E121" s="33">
        <v>250</v>
      </c>
      <c r="F121" s="246">
        <f ca="1">+E121+F133</f>
        <v>270</v>
      </c>
      <c r="G121" s="246">
        <f ca="1">+F121+G133</f>
        <v>290</v>
      </c>
      <c r="H121" s="246">
        <f ca="1">+G121+H133</f>
        <v>310</v>
      </c>
      <c r="I121" s="246">
        <f ca="1">+H121+I133</f>
        <v>330</v>
      </c>
      <c r="J121" s="246">
        <f ca="1">+I121+J133</f>
        <v>350</v>
      </c>
      <c r="K121" s="246"/>
      <c r="L121" s="246"/>
      <c r="M121" s="246"/>
      <c r="N121" s="246"/>
    </row>
    <row r="122" spans="1:14" x14ac:dyDescent="0.2">
      <c r="A122" s="399"/>
      <c r="B122" s="251" t="s">
        <v>126</v>
      </c>
      <c r="C122" s="246"/>
      <c r="D122" s="246"/>
      <c r="E122" s="317" t="str">
        <f t="shared" ref="E122:J122" si="5">+E133</f>
        <v>N/A</v>
      </c>
      <c r="F122" s="246">
        <f t="shared" ca="1" si="5"/>
        <v>20</v>
      </c>
      <c r="G122" s="246">
        <f t="shared" ca="1" si="5"/>
        <v>20</v>
      </c>
      <c r="H122" s="246">
        <f t="shared" ca="1" si="5"/>
        <v>20</v>
      </c>
      <c r="I122" s="246">
        <f t="shared" ca="1" si="5"/>
        <v>20</v>
      </c>
      <c r="J122" s="246">
        <f t="shared" ca="1" si="5"/>
        <v>20</v>
      </c>
      <c r="K122" s="246"/>
      <c r="L122" s="246"/>
      <c r="M122" s="246"/>
      <c r="N122" s="246"/>
    </row>
    <row r="123" spans="1:14" x14ac:dyDescent="0.2">
      <c r="A123" s="399"/>
      <c r="B123" s="377"/>
      <c r="C123" s="246"/>
      <c r="D123" s="246"/>
      <c r="E123" s="33"/>
      <c r="F123" s="246"/>
      <c r="G123" s="246"/>
      <c r="H123" s="246"/>
      <c r="I123" s="246"/>
      <c r="J123" s="246"/>
      <c r="K123" s="246"/>
      <c r="L123" s="246"/>
      <c r="M123" s="246"/>
      <c r="N123" s="246"/>
    </row>
    <row r="124" spans="1:14" x14ac:dyDescent="0.2">
      <c r="A124" s="399"/>
      <c r="B124" t="s">
        <v>127</v>
      </c>
      <c r="C124" s="246"/>
      <c r="D124" s="246"/>
      <c r="E124" s="315">
        <f>+E104/E121</f>
        <v>0.4</v>
      </c>
      <c r="F124" s="315">
        <f ca="1">+(F127/1000)*F130</f>
        <v>0.63749999999999996</v>
      </c>
      <c r="G124" s="315">
        <f ca="1">+(G127/1000)*G130</f>
        <v>0.9</v>
      </c>
      <c r="H124" s="315">
        <f ca="1">+(H127/1000)*H130</f>
        <v>1.1875</v>
      </c>
      <c r="I124" s="315">
        <f ca="1">+(I127/1000)*I130</f>
        <v>1.5</v>
      </c>
      <c r="J124" s="315">
        <f ca="1">+(J127/1000)*J130</f>
        <v>1.8374999999999999</v>
      </c>
      <c r="K124" s="246"/>
      <c r="L124" s="246"/>
      <c r="M124" s="246"/>
      <c r="N124" s="246"/>
    </row>
    <row r="125" spans="1:14" x14ac:dyDescent="0.2">
      <c r="A125" s="399"/>
      <c r="B125" s="251" t="s">
        <v>114</v>
      </c>
      <c r="C125" s="246"/>
      <c r="D125" s="246"/>
      <c r="E125" s="286" t="str">
        <f t="shared" ref="E125:J125" si="6">+IFERROR(E124/D124-1,"N/A")</f>
        <v>N/A</v>
      </c>
      <c r="F125" s="286">
        <f t="shared" ca="1" si="6"/>
        <v>0.59374999999999978</v>
      </c>
      <c r="G125" s="286">
        <f t="shared" ca="1" si="6"/>
        <v>0.41176470588235303</v>
      </c>
      <c r="H125" s="286">
        <f t="shared" ca="1" si="6"/>
        <v>0.31944444444444442</v>
      </c>
      <c r="I125" s="286">
        <f t="shared" ca="1" si="6"/>
        <v>0.26315789473684204</v>
      </c>
      <c r="J125" s="286">
        <f t="shared" ca="1" si="6"/>
        <v>0.22499999999999987</v>
      </c>
      <c r="K125" s="246"/>
      <c r="L125" s="246"/>
      <c r="M125" s="246"/>
      <c r="N125" s="246"/>
    </row>
    <row r="126" spans="1:14" x14ac:dyDescent="0.2">
      <c r="A126" s="399"/>
      <c r="B126" s="377"/>
      <c r="C126" s="246"/>
      <c r="D126" s="246"/>
      <c r="E126" s="317"/>
      <c r="F126" s="246"/>
      <c r="G126" s="246"/>
      <c r="H126" s="246"/>
      <c r="I126" s="246"/>
      <c r="J126" s="246"/>
      <c r="K126" s="246"/>
      <c r="L126" s="246"/>
      <c r="M126" s="246"/>
      <c r="N126" s="246"/>
    </row>
    <row r="127" spans="1:14" x14ac:dyDescent="0.2">
      <c r="A127" s="399"/>
      <c r="B127" t="s">
        <v>128</v>
      </c>
      <c r="C127" s="246"/>
      <c r="D127" s="246"/>
      <c r="E127" s="33">
        <v>50</v>
      </c>
      <c r="F127" s="246">
        <f ca="1">+E127+F138</f>
        <v>75</v>
      </c>
      <c r="G127" s="246">
        <f ca="1">+F127+G138</f>
        <v>100</v>
      </c>
      <c r="H127" s="246">
        <f ca="1">+G127+H138</f>
        <v>125</v>
      </c>
      <c r="I127" s="246">
        <f ca="1">+H127+I138</f>
        <v>150</v>
      </c>
      <c r="J127" s="246">
        <f ca="1">+I127+J138</f>
        <v>175</v>
      </c>
      <c r="K127" s="246"/>
      <c r="L127" s="246"/>
      <c r="M127" s="246"/>
      <c r="N127" s="246"/>
    </row>
    <row r="128" spans="1:14" x14ac:dyDescent="0.2">
      <c r="A128" s="399"/>
      <c r="B128" s="251" t="s">
        <v>129</v>
      </c>
      <c r="C128" s="246"/>
      <c r="D128" s="246"/>
      <c r="E128" s="312" t="str">
        <f t="shared" ref="E128:J128" si="7">+E138</f>
        <v>N/A</v>
      </c>
      <c r="F128" s="246">
        <f t="shared" ca="1" si="7"/>
        <v>25</v>
      </c>
      <c r="G128" s="246">
        <f t="shared" ca="1" si="7"/>
        <v>25</v>
      </c>
      <c r="H128" s="246">
        <f t="shared" ca="1" si="7"/>
        <v>25</v>
      </c>
      <c r="I128" s="246">
        <f t="shared" ca="1" si="7"/>
        <v>25</v>
      </c>
      <c r="J128" s="246">
        <f t="shared" ca="1" si="7"/>
        <v>25</v>
      </c>
      <c r="K128" s="246"/>
      <c r="L128" s="246"/>
      <c r="M128" s="246"/>
      <c r="N128" s="246"/>
    </row>
    <row r="129" spans="1:14" x14ac:dyDescent="0.2">
      <c r="A129" s="399"/>
      <c r="B129" s="246"/>
      <c r="C129" s="246"/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</row>
    <row r="130" spans="1:14" x14ac:dyDescent="0.2">
      <c r="A130" s="399"/>
      <c r="B130" t="s">
        <v>130</v>
      </c>
      <c r="C130" s="246"/>
      <c r="D130" s="246"/>
      <c r="E130" s="315">
        <f>+(E124*1000)/E127</f>
        <v>8</v>
      </c>
      <c r="F130" s="315">
        <f ca="1">+E130+F131</f>
        <v>8.5</v>
      </c>
      <c r="G130" s="315">
        <f ca="1">+F130+G131</f>
        <v>9</v>
      </c>
      <c r="H130" s="315">
        <f ca="1">+G130+H131</f>
        <v>9.5</v>
      </c>
      <c r="I130" s="315">
        <f ca="1">+H130+I131</f>
        <v>10</v>
      </c>
      <c r="J130" s="315">
        <f ca="1">+I130+J131</f>
        <v>10.5</v>
      </c>
      <c r="K130" s="246"/>
      <c r="L130" s="246"/>
      <c r="M130" s="246"/>
      <c r="N130" s="246"/>
    </row>
    <row r="131" spans="1:14" x14ac:dyDescent="0.2">
      <c r="A131" s="399"/>
      <c r="B131" s="251" t="s">
        <v>131</v>
      </c>
      <c r="C131" s="246"/>
      <c r="D131" s="246"/>
      <c r="E131" s="343" t="str">
        <f t="shared" ref="E131:J131" si="8">+E143</f>
        <v>N/A</v>
      </c>
      <c r="F131" s="343">
        <f t="shared" ca="1" si="8"/>
        <v>0.5</v>
      </c>
      <c r="G131" s="343">
        <f t="shared" ca="1" si="8"/>
        <v>0.5</v>
      </c>
      <c r="H131" s="343">
        <f t="shared" ca="1" si="8"/>
        <v>0.5</v>
      </c>
      <c r="I131" s="343">
        <f t="shared" ca="1" si="8"/>
        <v>0.5</v>
      </c>
      <c r="J131" s="343">
        <f t="shared" ca="1" si="8"/>
        <v>0.5</v>
      </c>
      <c r="K131" s="246"/>
      <c r="L131" s="246"/>
      <c r="M131" s="246"/>
      <c r="N131" s="246"/>
    </row>
    <row r="132" spans="1:14" x14ac:dyDescent="0.2">
      <c r="A132" s="399"/>
      <c r="B132" s="246"/>
      <c r="C132" s="246"/>
      <c r="D132" s="246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</row>
    <row r="133" spans="1:14" x14ac:dyDescent="0.2">
      <c r="A133" s="399"/>
      <c r="B133" s="247" t="s">
        <v>126</v>
      </c>
      <c r="C133" s="374"/>
      <c r="D133" s="374"/>
      <c r="E133" s="249" t="s">
        <v>295</v>
      </c>
      <c r="F133" s="254">
        <f ca="1">+OFFSET(F133,$D$116,0)</f>
        <v>20</v>
      </c>
      <c r="G133" s="254">
        <f ca="1">+OFFSET(G133,$D$116,0)</f>
        <v>20</v>
      </c>
      <c r="H133" s="254">
        <f ca="1">+OFFSET(H133,$D$116,0)</f>
        <v>20</v>
      </c>
      <c r="I133" s="254">
        <f ca="1">+OFFSET(I133,$D$116,0)</f>
        <v>20</v>
      </c>
      <c r="J133" s="255">
        <f ca="1">+OFFSET(J133,$D$116,0)</f>
        <v>20</v>
      </c>
      <c r="K133" s="246"/>
      <c r="L133" s="246"/>
      <c r="M133" s="246"/>
      <c r="N133" s="246"/>
    </row>
    <row r="134" spans="1:14" x14ac:dyDescent="0.2">
      <c r="A134" s="399"/>
      <c r="B134" s="251" t="s">
        <v>132</v>
      </c>
      <c r="C134" s="246"/>
      <c r="D134" s="246"/>
      <c r="E134" s="246"/>
      <c r="F134" s="33">
        <v>15</v>
      </c>
      <c r="G134" s="33">
        <v>15</v>
      </c>
      <c r="H134" s="33">
        <v>15</v>
      </c>
      <c r="I134" s="33">
        <v>15</v>
      </c>
      <c r="J134" s="33">
        <v>15</v>
      </c>
      <c r="K134" s="246"/>
      <c r="L134" s="246"/>
      <c r="M134" s="246"/>
      <c r="N134" s="246"/>
    </row>
    <row r="135" spans="1:14" x14ac:dyDescent="0.2">
      <c r="A135" s="399"/>
      <c r="B135" s="251" t="s">
        <v>133</v>
      </c>
      <c r="C135" s="246"/>
      <c r="D135" s="246"/>
      <c r="E135" s="246"/>
      <c r="F135" s="33">
        <v>20</v>
      </c>
      <c r="G135" s="33">
        <v>20</v>
      </c>
      <c r="H135" s="33">
        <v>20</v>
      </c>
      <c r="I135" s="33">
        <v>20</v>
      </c>
      <c r="J135" s="33">
        <v>20</v>
      </c>
      <c r="K135" s="246"/>
      <c r="L135" s="246"/>
      <c r="M135" s="246"/>
      <c r="N135" s="246"/>
    </row>
    <row r="136" spans="1:14" x14ac:dyDescent="0.2">
      <c r="A136" s="399"/>
      <c r="B136" s="251" t="s">
        <v>134</v>
      </c>
      <c r="C136" s="246"/>
      <c r="D136" s="246"/>
      <c r="E136" s="246"/>
      <c r="F136" s="33">
        <v>0</v>
      </c>
      <c r="G136" s="33">
        <v>0</v>
      </c>
      <c r="H136" s="33">
        <v>0</v>
      </c>
      <c r="I136" s="33">
        <v>0</v>
      </c>
      <c r="J136" s="33">
        <v>0</v>
      </c>
      <c r="K136" s="246"/>
      <c r="L136" s="246"/>
      <c r="M136" s="246"/>
      <c r="N136" s="246"/>
    </row>
    <row r="137" spans="1:14" x14ac:dyDescent="0.2">
      <c r="A137" s="399"/>
      <c r="B137" s="246"/>
      <c r="C137" s="246"/>
      <c r="D137" s="246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</row>
    <row r="138" spans="1:14" x14ac:dyDescent="0.2">
      <c r="A138" s="399"/>
      <c r="B138" s="247" t="s">
        <v>135</v>
      </c>
      <c r="C138" s="374"/>
      <c r="D138" s="374"/>
      <c r="E138" s="249" t="s">
        <v>295</v>
      </c>
      <c r="F138" s="254">
        <f ca="1">+OFFSET(F138,$D$116,0)</f>
        <v>25</v>
      </c>
      <c r="G138" s="254">
        <f ca="1">+OFFSET(G138,$D$116,0)</f>
        <v>25</v>
      </c>
      <c r="H138" s="254">
        <f ca="1">+OFFSET(H138,$D$116,0)</f>
        <v>25</v>
      </c>
      <c r="I138" s="254">
        <f ca="1">+OFFSET(I138,$D$116,0)</f>
        <v>25</v>
      </c>
      <c r="J138" s="255">
        <f ca="1">+OFFSET(J138,$D$116,0)</f>
        <v>25</v>
      </c>
      <c r="K138" s="246"/>
      <c r="L138" s="246"/>
      <c r="M138" s="246"/>
      <c r="N138" s="246"/>
    </row>
    <row r="139" spans="1:14" x14ac:dyDescent="0.2">
      <c r="A139" s="399"/>
      <c r="B139" s="251" t="s">
        <v>132</v>
      </c>
      <c r="C139" s="246"/>
      <c r="D139" s="246"/>
      <c r="E139" s="246"/>
      <c r="F139" s="33">
        <v>15</v>
      </c>
      <c r="G139" s="33">
        <v>15</v>
      </c>
      <c r="H139" s="33">
        <v>15</v>
      </c>
      <c r="I139" s="33">
        <v>15</v>
      </c>
      <c r="J139" s="33">
        <v>15</v>
      </c>
      <c r="K139" s="246"/>
      <c r="L139" s="246"/>
      <c r="M139" s="246"/>
      <c r="N139" s="246"/>
    </row>
    <row r="140" spans="1:14" x14ac:dyDescent="0.2">
      <c r="A140" s="399"/>
      <c r="B140" s="251" t="s">
        <v>133</v>
      </c>
      <c r="C140" s="246"/>
      <c r="D140" s="246"/>
      <c r="E140" s="246"/>
      <c r="F140" s="33">
        <v>25</v>
      </c>
      <c r="G140" s="33">
        <v>25</v>
      </c>
      <c r="H140" s="33">
        <v>25</v>
      </c>
      <c r="I140" s="33">
        <v>25</v>
      </c>
      <c r="J140" s="33">
        <v>25</v>
      </c>
      <c r="K140" s="246"/>
      <c r="L140" s="246"/>
      <c r="M140" s="246"/>
      <c r="N140" s="246"/>
    </row>
    <row r="141" spans="1:14" x14ac:dyDescent="0.2">
      <c r="A141" s="399"/>
      <c r="B141" s="251" t="s">
        <v>134</v>
      </c>
      <c r="C141" s="246"/>
      <c r="D141" s="246"/>
      <c r="E141" s="246"/>
      <c r="F141" s="33">
        <v>-5</v>
      </c>
      <c r="G141" s="33">
        <v>-5</v>
      </c>
      <c r="H141" s="33">
        <v>-5</v>
      </c>
      <c r="I141" s="33">
        <v>-5</v>
      </c>
      <c r="J141" s="33">
        <v>-5</v>
      </c>
      <c r="K141" s="246"/>
      <c r="L141" s="246"/>
      <c r="M141" s="246"/>
      <c r="N141" s="246"/>
    </row>
    <row r="142" spans="1:14" x14ac:dyDescent="0.2">
      <c r="A142" s="399"/>
      <c r="B142" s="246"/>
      <c r="C142" s="246"/>
      <c r="D142" s="246"/>
      <c r="E142" s="81"/>
      <c r="F142" s="81"/>
      <c r="G142" s="81"/>
      <c r="H142" s="81"/>
      <c r="I142" s="81"/>
      <c r="J142" s="81"/>
      <c r="K142" s="246"/>
      <c r="L142" s="246"/>
      <c r="M142" s="246"/>
      <c r="N142" s="246"/>
    </row>
    <row r="143" spans="1:14" x14ac:dyDescent="0.2">
      <c r="A143" s="399"/>
      <c r="B143" s="247" t="s">
        <v>131</v>
      </c>
      <c r="C143" s="374"/>
      <c r="D143" s="374"/>
      <c r="E143" s="249" t="s">
        <v>295</v>
      </c>
      <c r="F143" s="256">
        <f ca="1">+OFFSET(F143,$D$116,0)</f>
        <v>0.5</v>
      </c>
      <c r="G143" s="256">
        <f ca="1">+OFFSET(G143,$D$116,0)</f>
        <v>0.5</v>
      </c>
      <c r="H143" s="256">
        <f ca="1">+OFFSET(H143,$D$116,0)</f>
        <v>0.5</v>
      </c>
      <c r="I143" s="256">
        <f ca="1">+OFFSET(I143,$D$116,0)</f>
        <v>0.5</v>
      </c>
      <c r="J143" s="257">
        <f ca="1">+OFFSET(J143,$D$116,0)</f>
        <v>0.5</v>
      </c>
      <c r="K143" s="246"/>
      <c r="L143" s="246"/>
      <c r="M143" s="246"/>
      <c r="N143" s="246"/>
    </row>
    <row r="144" spans="1:14" x14ac:dyDescent="0.2">
      <c r="A144" s="399"/>
      <c r="B144" s="251" t="s">
        <v>132</v>
      </c>
      <c r="C144" s="246"/>
      <c r="D144" s="246"/>
      <c r="E144" s="81"/>
      <c r="F144" s="117">
        <v>0.25</v>
      </c>
      <c r="G144" s="117">
        <v>0.25</v>
      </c>
      <c r="H144" s="117">
        <v>0.25</v>
      </c>
      <c r="I144" s="117">
        <v>0.25</v>
      </c>
      <c r="J144" s="117">
        <v>0.25</v>
      </c>
      <c r="K144" s="246"/>
      <c r="L144" s="246"/>
      <c r="M144" s="246"/>
      <c r="N144" s="246"/>
    </row>
    <row r="145" spans="1:14" x14ac:dyDescent="0.2">
      <c r="A145" s="399"/>
      <c r="B145" s="251" t="s">
        <v>133</v>
      </c>
      <c r="C145" s="246"/>
      <c r="D145" s="246"/>
      <c r="E145" s="81"/>
      <c r="F145" s="117">
        <v>0.5</v>
      </c>
      <c r="G145" s="117">
        <v>0.5</v>
      </c>
      <c r="H145" s="117">
        <v>0.5</v>
      </c>
      <c r="I145" s="117">
        <v>0.5</v>
      </c>
      <c r="J145" s="117">
        <v>0.5</v>
      </c>
      <c r="K145" s="246"/>
      <c r="L145" s="246"/>
      <c r="M145" s="246"/>
      <c r="N145" s="246"/>
    </row>
    <row r="146" spans="1:14" x14ac:dyDescent="0.2">
      <c r="A146" s="399"/>
      <c r="B146" s="251" t="s">
        <v>134</v>
      </c>
      <c r="C146" s="246"/>
      <c r="D146" s="246"/>
      <c r="E146" s="81"/>
      <c r="F146" s="117">
        <v>-0.1</v>
      </c>
      <c r="G146" s="117">
        <v>-0.1</v>
      </c>
      <c r="H146" s="117">
        <v>-0.1</v>
      </c>
      <c r="I146" s="117">
        <v>-0.1</v>
      </c>
      <c r="J146" s="117">
        <v>-0.1</v>
      </c>
      <c r="K146" s="246"/>
      <c r="L146" s="246"/>
      <c r="M146" s="246"/>
      <c r="N146" s="246"/>
    </row>
    <row r="147" spans="1:14" x14ac:dyDescent="0.2">
      <c r="A147" s="399"/>
      <c r="B147" s="246"/>
      <c r="C147" s="246"/>
      <c r="D147" s="246"/>
      <c r="E147" s="81"/>
      <c r="F147" s="378"/>
      <c r="G147" s="378"/>
      <c r="H147" s="378"/>
      <c r="I147" s="378"/>
      <c r="J147" s="378"/>
      <c r="K147" s="246"/>
      <c r="L147" s="246"/>
      <c r="M147" s="246"/>
      <c r="N147" s="246"/>
    </row>
    <row r="148" spans="1:14" x14ac:dyDescent="0.2">
      <c r="A148" s="399"/>
      <c r="B148" s="247" t="s">
        <v>117</v>
      </c>
      <c r="C148" s="374"/>
      <c r="D148" s="374"/>
      <c r="E148" s="252">
        <f>+E108/E104</f>
        <v>0.3</v>
      </c>
      <c r="F148" s="249">
        <f ca="1">+OFFSET(F148,$D$116,0)</f>
        <v>0.35</v>
      </c>
      <c r="G148" s="249">
        <f ca="1">+OFFSET(G148,$D$116,0)</f>
        <v>0.35</v>
      </c>
      <c r="H148" s="249">
        <f ca="1">+OFFSET(H148,$D$116,0)</f>
        <v>0.35</v>
      </c>
      <c r="I148" s="249">
        <f ca="1">+OFFSET(I148,$D$116,0)</f>
        <v>0.35</v>
      </c>
      <c r="J148" s="250">
        <f ca="1">+OFFSET(J148,$D$116,0)</f>
        <v>0.35</v>
      </c>
      <c r="K148" s="246"/>
      <c r="L148" s="246"/>
      <c r="M148" s="246"/>
      <c r="N148" s="246"/>
    </row>
    <row r="149" spans="1:14" x14ac:dyDescent="0.2">
      <c r="A149" s="399"/>
      <c r="B149" s="251" t="s">
        <v>132</v>
      </c>
      <c r="C149" s="377"/>
      <c r="D149" s="246"/>
      <c r="E149" s="81"/>
      <c r="F149" s="31">
        <v>0.3</v>
      </c>
      <c r="G149" s="31">
        <v>0.3</v>
      </c>
      <c r="H149" s="31">
        <v>0.3</v>
      </c>
      <c r="I149" s="31">
        <v>0.3</v>
      </c>
      <c r="J149" s="31">
        <v>0.3</v>
      </c>
      <c r="K149" s="246"/>
      <c r="L149" s="246"/>
      <c r="M149" s="246"/>
      <c r="N149" s="246"/>
    </row>
    <row r="150" spans="1:14" x14ac:dyDescent="0.2">
      <c r="A150" s="399"/>
      <c r="B150" s="251" t="s">
        <v>133</v>
      </c>
      <c r="C150" s="377"/>
      <c r="D150" s="246"/>
      <c r="E150" s="81"/>
      <c r="F150" s="31">
        <v>0.35</v>
      </c>
      <c r="G150" s="31">
        <v>0.35</v>
      </c>
      <c r="H150" s="31">
        <v>0.35</v>
      </c>
      <c r="I150" s="31">
        <v>0.35</v>
      </c>
      <c r="J150" s="31">
        <v>0.35</v>
      </c>
      <c r="K150" s="246"/>
      <c r="L150" s="246"/>
      <c r="M150" s="246"/>
      <c r="N150" s="246"/>
    </row>
    <row r="151" spans="1:14" x14ac:dyDescent="0.2">
      <c r="A151" s="399"/>
      <c r="B151" s="251" t="s">
        <v>134</v>
      </c>
      <c r="C151" s="377"/>
      <c r="D151" s="246"/>
      <c r="E151" s="81"/>
      <c r="F151" s="31">
        <v>0.25</v>
      </c>
      <c r="G151" s="31">
        <v>0.25</v>
      </c>
      <c r="H151" s="31">
        <v>0.25</v>
      </c>
      <c r="I151" s="31">
        <v>0.25</v>
      </c>
      <c r="J151" s="31">
        <v>0.25</v>
      </c>
      <c r="K151" s="246"/>
      <c r="L151" s="246"/>
      <c r="M151" s="246"/>
      <c r="N151" s="246"/>
    </row>
    <row r="152" spans="1:14" x14ac:dyDescent="0.2">
      <c r="A152" s="399"/>
      <c r="B152" s="246"/>
      <c r="C152" s="246"/>
      <c r="D152" s="246"/>
      <c r="E152" s="81"/>
      <c r="F152" s="378"/>
      <c r="G152" s="378"/>
      <c r="H152" s="378"/>
      <c r="I152" s="378"/>
      <c r="J152" s="378"/>
      <c r="K152" s="246"/>
      <c r="L152" s="246"/>
      <c r="M152" s="246"/>
      <c r="N152" s="246"/>
    </row>
    <row r="153" spans="1:14" x14ac:dyDescent="0.2">
      <c r="A153" s="399"/>
      <c r="B153" s="247" t="s">
        <v>136</v>
      </c>
      <c r="C153" s="374"/>
      <c r="D153" s="374"/>
      <c r="E153" s="252">
        <f>-E111/E104</f>
        <v>0.1</v>
      </c>
      <c r="F153" s="249">
        <f ca="1">+OFFSET(F153,$D$116,0)</f>
        <v>7.4999999999999997E-2</v>
      </c>
      <c r="G153" s="249">
        <f ca="1">+OFFSET(G153,$D$116,0)</f>
        <v>7.4999999999999997E-2</v>
      </c>
      <c r="H153" s="249">
        <f ca="1">+OFFSET(H153,$D$116,0)</f>
        <v>7.4999999999999997E-2</v>
      </c>
      <c r="I153" s="249">
        <f ca="1">+OFFSET(I153,$D$116,0)</f>
        <v>7.4999999999999997E-2</v>
      </c>
      <c r="J153" s="250">
        <f ca="1">+OFFSET(J153,$D$116,0)</f>
        <v>7.4999999999999997E-2</v>
      </c>
      <c r="K153" s="246"/>
      <c r="L153" s="246"/>
      <c r="M153" s="246"/>
      <c r="N153" s="246"/>
    </row>
    <row r="154" spans="1:14" x14ac:dyDescent="0.2">
      <c r="A154" s="399"/>
      <c r="B154" s="251" t="s">
        <v>132</v>
      </c>
      <c r="C154" s="377"/>
      <c r="D154" s="246"/>
      <c r="E154" s="81"/>
      <c r="F154" s="31">
        <v>0.1</v>
      </c>
      <c r="G154" s="31">
        <v>0.1</v>
      </c>
      <c r="H154" s="31">
        <v>0.1</v>
      </c>
      <c r="I154" s="31">
        <v>0.1</v>
      </c>
      <c r="J154" s="31">
        <v>0.1</v>
      </c>
      <c r="K154" s="246"/>
      <c r="L154" s="246"/>
      <c r="M154" s="246"/>
      <c r="N154" s="246"/>
    </row>
    <row r="155" spans="1:14" x14ac:dyDescent="0.2">
      <c r="A155" s="399"/>
      <c r="B155" s="251" t="s">
        <v>133</v>
      </c>
      <c r="C155" s="377"/>
      <c r="D155" s="246"/>
      <c r="E155" s="81"/>
      <c r="F155" s="31">
        <v>7.4999999999999997E-2</v>
      </c>
      <c r="G155" s="31">
        <v>7.4999999999999997E-2</v>
      </c>
      <c r="H155" s="31">
        <v>7.4999999999999997E-2</v>
      </c>
      <c r="I155" s="31">
        <v>7.4999999999999997E-2</v>
      </c>
      <c r="J155" s="31">
        <v>7.4999999999999997E-2</v>
      </c>
      <c r="K155" s="246"/>
      <c r="L155" s="246"/>
      <c r="M155" s="246"/>
      <c r="N155" s="246"/>
    </row>
    <row r="156" spans="1:14" x14ac:dyDescent="0.2">
      <c r="A156" s="399"/>
      <c r="B156" s="251" t="s">
        <v>134</v>
      </c>
      <c r="C156" s="377"/>
      <c r="D156" s="246"/>
      <c r="E156" s="81"/>
      <c r="F156" s="31">
        <v>0.125</v>
      </c>
      <c r="G156" s="31">
        <v>0.125</v>
      </c>
      <c r="H156" s="31">
        <v>0.125</v>
      </c>
      <c r="I156" s="31">
        <v>0.125</v>
      </c>
      <c r="J156" s="31">
        <v>0.125</v>
      </c>
      <c r="K156" s="246"/>
      <c r="L156" s="246"/>
      <c r="M156" s="246"/>
      <c r="N156" s="246"/>
    </row>
    <row r="157" spans="1:14" x14ac:dyDescent="0.2">
      <c r="A157" s="399"/>
      <c r="B157" s="377"/>
      <c r="C157" s="377"/>
      <c r="D157" s="246"/>
      <c r="E157" s="81"/>
      <c r="F157" s="378"/>
      <c r="G157" s="378"/>
      <c r="H157" s="378"/>
      <c r="I157" s="378"/>
      <c r="J157" s="378"/>
      <c r="K157" s="246"/>
      <c r="L157" s="246"/>
      <c r="M157" s="246"/>
      <c r="N157" s="246"/>
    </row>
    <row r="158" spans="1:14" x14ac:dyDescent="0.2">
      <c r="A158" s="399"/>
      <c r="B158" s="247" t="s">
        <v>137</v>
      </c>
      <c r="C158" s="374"/>
      <c r="D158" s="374"/>
      <c r="E158" s="249">
        <f>-E112/E104</f>
        <v>0.05</v>
      </c>
      <c r="F158" s="249">
        <f ca="1">+OFFSET(F158,$D$116,0)</f>
        <v>2.5000000000000001E-2</v>
      </c>
      <c r="G158" s="249">
        <f ca="1">+OFFSET(G158,$D$116,0)</f>
        <v>2.5000000000000001E-2</v>
      </c>
      <c r="H158" s="249">
        <f ca="1">+OFFSET(H158,$D$116,0)</f>
        <v>2.5000000000000001E-2</v>
      </c>
      <c r="I158" s="249">
        <f ca="1">+OFFSET(I158,$D$116,0)</f>
        <v>2.5000000000000001E-2</v>
      </c>
      <c r="J158" s="250">
        <f ca="1">+OFFSET(J158,$D$116,0)</f>
        <v>2.5000000000000001E-2</v>
      </c>
      <c r="K158" s="246"/>
      <c r="L158" s="246"/>
      <c r="M158" s="246"/>
      <c r="N158" s="246"/>
    </row>
    <row r="159" spans="1:14" x14ac:dyDescent="0.2">
      <c r="A159" s="399"/>
      <c r="B159" s="251" t="s">
        <v>132</v>
      </c>
      <c r="C159" s="377"/>
      <c r="D159" s="246"/>
      <c r="E159" s="81"/>
      <c r="F159" s="31">
        <v>0.05</v>
      </c>
      <c r="G159" s="31">
        <v>0.05</v>
      </c>
      <c r="H159" s="31">
        <v>0.05</v>
      </c>
      <c r="I159" s="31">
        <v>0.05</v>
      </c>
      <c r="J159" s="31">
        <v>0.05</v>
      </c>
      <c r="K159" s="246"/>
      <c r="L159" s="246"/>
      <c r="M159" s="246"/>
      <c r="N159" s="246"/>
    </row>
    <row r="160" spans="1:14" x14ac:dyDescent="0.2">
      <c r="A160" s="399"/>
      <c r="B160" s="251" t="s">
        <v>133</v>
      </c>
      <c r="C160" s="377"/>
      <c r="D160" s="246"/>
      <c r="E160" s="81"/>
      <c r="F160" s="31">
        <v>2.5000000000000001E-2</v>
      </c>
      <c r="G160" s="31">
        <v>2.5000000000000001E-2</v>
      </c>
      <c r="H160" s="31">
        <v>2.5000000000000001E-2</v>
      </c>
      <c r="I160" s="31">
        <v>2.5000000000000001E-2</v>
      </c>
      <c r="J160" s="31">
        <v>2.5000000000000001E-2</v>
      </c>
      <c r="K160" s="246"/>
      <c r="L160" s="246"/>
      <c r="M160" s="246"/>
      <c r="N160" s="246"/>
    </row>
    <row r="161" spans="1:14" x14ac:dyDescent="0.2">
      <c r="A161" s="399"/>
      <c r="B161" s="251" t="s">
        <v>134</v>
      </c>
      <c r="C161" s="377"/>
      <c r="D161" s="246"/>
      <c r="E161" s="81"/>
      <c r="F161" s="31">
        <v>0.01</v>
      </c>
      <c r="G161" s="31">
        <v>0.01</v>
      </c>
      <c r="H161" s="31">
        <v>0.01</v>
      </c>
      <c r="I161" s="31">
        <v>0.01</v>
      </c>
      <c r="J161" s="31">
        <v>0.01</v>
      </c>
      <c r="K161" s="246"/>
      <c r="L161" s="246"/>
      <c r="M161" s="246"/>
      <c r="N161" s="246"/>
    </row>
    <row r="162" spans="1:14" x14ac:dyDescent="0.2">
      <c r="A162" s="399"/>
      <c r="B162" s="246"/>
      <c r="C162" s="246"/>
      <c r="D162" s="246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</row>
    <row r="163" spans="1:14" x14ac:dyDescent="0.2">
      <c r="A163" s="399"/>
      <c r="B163" s="358" t="s">
        <v>138</v>
      </c>
      <c r="C163" s="373"/>
      <c r="D163" s="373"/>
      <c r="E163" s="373"/>
      <c r="F163" s="373"/>
      <c r="G163" s="373"/>
      <c r="H163" s="373"/>
      <c r="I163" s="373"/>
      <c r="J163" s="373"/>
      <c r="K163" s="246"/>
      <c r="L163" s="246"/>
      <c r="M163" s="246"/>
      <c r="N163" s="246"/>
    </row>
    <row r="164" spans="1:14" x14ac:dyDescent="0.2">
      <c r="A164" s="399"/>
      <c r="B164" s="246"/>
      <c r="C164" s="246"/>
      <c r="D164" s="246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</row>
    <row r="165" spans="1:14" x14ac:dyDescent="0.2">
      <c r="A165" s="399"/>
      <c r="B165" t="s">
        <v>139</v>
      </c>
      <c r="C165" s="246"/>
      <c r="D165" s="246"/>
      <c r="E165" s="246"/>
      <c r="F165" s="344">
        <f>+IF(AND($J$33=1,$J$35&lt;=F102),1,0)</f>
        <v>1</v>
      </c>
      <c r="G165" s="344">
        <f>+IF(AND($J$33=1,$J$35&lt;=G102),1,0)</f>
        <v>1</v>
      </c>
      <c r="H165" s="344">
        <f>+IF(AND($J$33=1,$J$35&lt;=H102),1,0)</f>
        <v>1</v>
      </c>
      <c r="I165" s="344">
        <f>+IF(AND($J$33=1,$J$35&lt;=I102),1,0)</f>
        <v>1</v>
      </c>
      <c r="J165" s="344">
        <f>+IF(AND($J$33=1,$J$35&lt;=J102),1,0)</f>
        <v>1</v>
      </c>
      <c r="K165" s="246"/>
      <c r="L165" s="246"/>
      <c r="M165" s="246"/>
      <c r="N165" s="246"/>
    </row>
    <row r="166" spans="1:14" x14ac:dyDescent="0.2">
      <c r="A166" s="399"/>
      <c r="B166" s="246"/>
      <c r="C166" s="246"/>
      <c r="D166" s="246"/>
      <c r="E166" s="246"/>
      <c r="F166" s="317"/>
      <c r="G166" s="317"/>
      <c r="H166" s="317"/>
      <c r="I166" s="317"/>
      <c r="J166" s="317"/>
      <c r="K166" s="246"/>
      <c r="L166" s="246"/>
      <c r="M166" s="246"/>
      <c r="N166" s="246"/>
    </row>
    <row r="167" spans="1:14" x14ac:dyDescent="0.2">
      <c r="A167" s="399"/>
      <c r="B167" t="s">
        <v>140</v>
      </c>
      <c r="C167" s="246"/>
      <c r="D167" s="246"/>
      <c r="E167" s="246"/>
      <c r="F167" s="345">
        <f>+$J$34</f>
        <v>9.5</v>
      </c>
      <c r="G167" s="345">
        <f>+$J$34</f>
        <v>9.5</v>
      </c>
      <c r="H167" s="345">
        <f>+$J$34</f>
        <v>9.5</v>
      </c>
      <c r="I167" s="345">
        <f>+$J$34</f>
        <v>9.5</v>
      </c>
      <c r="J167" s="345">
        <f>+$J$34</f>
        <v>9.5</v>
      </c>
      <c r="K167" s="246"/>
      <c r="L167" s="246"/>
      <c r="M167" s="246"/>
      <c r="N167" s="246"/>
    </row>
    <row r="168" spans="1:14" x14ac:dyDescent="0.2">
      <c r="A168" s="399"/>
      <c r="B168" t="s">
        <v>141</v>
      </c>
      <c r="C168" s="246"/>
      <c r="D168" s="246"/>
      <c r="E168" s="246"/>
      <c r="F168" s="266">
        <f ca="1">+F167*F113</f>
        <v>408.796875</v>
      </c>
      <c r="G168" s="266">
        <f ca="1">+G167*G113</f>
        <v>619.87499999999989</v>
      </c>
      <c r="H168" s="266">
        <f ca="1">+H167*H113</f>
        <v>874.296875</v>
      </c>
      <c r="I168" s="266">
        <f ca="1">+I167*I113</f>
        <v>1175.625</v>
      </c>
      <c r="J168" s="266">
        <f ca="1">+J167*J113</f>
        <v>1527.4218749999998</v>
      </c>
      <c r="K168" s="246"/>
      <c r="L168" s="246"/>
      <c r="M168" s="246"/>
      <c r="N168" s="246"/>
    </row>
    <row r="169" spans="1:14" x14ac:dyDescent="0.2">
      <c r="A169" s="399"/>
      <c r="B169" s="246"/>
      <c r="C169" s="246"/>
      <c r="D169" s="246"/>
      <c r="E169" s="246"/>
      <c r="F169" s="390"/>
      <c r="G169" s="390"/>
      <c r="H169" s="390"/>
      <c r="I169" s="390"/>
      <c r="J169" s="390"/>
      <c r="K169" s="246"/>
      <c r="L169" s="246"/>
      <c r="M169" s="246"/>
      <c r="N169" s="246"/>
    </row>
    <row r="170" spans="1:14" x14ac:dyDescent="0.2">
      <c r="A170" s="318" t="s">
        <v>310</v>
      </c>
      <c r="B170" s="416" t="s">
        <v>142</v>
      </c>
      <c r="C170" s="409"/>
      <c r="D170" s="409"/>
      <c r="E170" s="418"/>
      <c r="F170" s="418"/>
      <c r="G170" s="418"/>
      <c r="H170" s="418"/>
      <c r="I170" s="418"/>
      <c r="J170" s="418"/>
      <c r="K170" s="246"/>
      <c r="L170" s="246"/>
      <c r="M170" s="246"/>
      <c r="N170" s="246"/>
    </row>
    <row r="171" spans="1:14" x14ac:dyDescent="0.2">
      <c r="A171" s="399"/>
      <c r="B171" s="246"/>
      <c r="C171" s="246"/>
      <c r="D171" s="246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</row>
    <row r="172" spans="1:14" x14ac:dyDescent="0.2">
      <c r="A172" s="399"/>
      <c r="B172" s="3" t="s">
        <v>143</v>
      </c>
      <c r="C172" s="375"/>
      <c r="D172" s="375"/>
      <c r="E172" s="53">
        <v>2020</v>
      </c>
      <c r="F172" s="65">
        <f>+E172+1</f>
        <v>2021</v>
      </c>
      <c r="G172" s="65">
        <f>+F172+1</f>
        <v>2022</v>
      </c>
      <c r="H172" s="65">
        <f>+G172+1</f>
        <v>2023</v>
      </c>
      <c r="I172" s="65">
        <f>+H172+1</f>
        <v>2024</v>
      </c>
      <c r="J172" s="65">
        <f>+I172+1</f>
        <v>2025</v>
      </c>
      <c r="K172" s="246"/>
      <c r="L172" s="246"/>
      <c r="M172" s="246"/>
      <c r="N172" s="246"/>
    </row>
    <row r="173" spans="1:14" x14ac:dyDescent="0.2">
      <c r="A173" s="399"/>
      <c r="B173" s="246"/>
      <c r="C173" s="246"/>
      <c r="D173" s="246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</row>
    <row r="174" spans="1:14" x14ac:dyDescent="0.2">
      <c r="A174" s="399"/>
      <c r="B174" t="s">
        <v>144</v>
      </c>
      <c r="C174" s="246"/>
      <c r="D174" s="246"/>
      <c r="E174" s="60">
        <v>1500</v>
      </c>
      <c r="F174" s="46">
        <f ca="1">+E174*(1+F232)</f>
        <v>1650.0000000000002</v>
      </c>
      <c r="G174" s="46">
        <f ca="1">+F174*(1+G232)</f>
        <v>1815.0000000000005</v>
      </c>
      <c r="H174" s="46">
        <f ca="1">+G174*(1+H232)</f>
        <v>1996.5000000000007</v>
      </c>
      <c r="I174" s="46">
        <f ca="1">+H174*(1+I232)</f>
        <v>2196.150000000001</v>
      </c>
      <c r="J174" s="46">
        <f ca="1">+I174*(1+J232)</f>
        <v>2415.7650000000012</v>
      </c>
      <c r="K174" s="246"/>
      <c r="L174" s="246"/>
      <c r="M174" s="246"/>
      <c r="N174" s="246"/>
    </row>
    <row r="175" spans="1:14" x14ac:dyDescent="0.2">
      <c r="A175" s="399"/>
      <c r="B175" s="245" t="s">
        <v>145</v>
      </c>
      <c r="C175" s="329"/>
      <c r="D175" s="329"/>
      <c r="E175" s="37">
        <v>0</v>
      </c>
      <c r="F175" s="47">
        <f ca="1">+IF(AND($J$33=1,F165=1),F104,0)</f>
        <v>172.125</v>
      </c>
      <c r="G175" s="47">
        <f ca="1">+IF(AND($J$33=1,G165=1),G104,0)</f>
        <v>261</v>
      </c>
      <c r="H175" s="47">
        <f ca="1">+IF(AND($J$33=1,H165=1),H104,0)</f>
        <v>368.125</v>
      </c>
      <c r="I175" s="47">
        <f ca="1">+IF(AND($J$33=1,I165=1),I104,0)</f>
        <v>495</v>
      </c>
      <c r="J175" s="47">
        <f ca="1">+IF(AND($J$33=1,J165=1),J104,0)</f>
        <v>643.125</v>
      </c>
      <c r="K175" s="246"/>
      <c r="L175" s="246"/>
      <c r="M175" s="246"/>
      <c r="N175" s="246"/>
    </row>
    <row r="176" spans="1:14" x14ac:dyDescent="0.2">
      <c r="A176" s="399"/>
      <c r="B176" s="8" t="s">
        <v>146</v>
      </c>
      <c r="C176" s="122"/>
      <c r="D176" s="122"/>
      <c r="E176" s="11">
        <f t="shared" ref="E176:J176" si="9">+SUM(E174:E175)</f>
        <v>1500</v>
      </c>
      <c r="F176" s="11">
        <f t="shared" ca="1" si="9"/>
        <v>1822.1250000000002</v>
      </c>
      <c r="G176" s="11">
        <f t="shared" ca="1" si="9"/>
        <v>2076.0000000000005</v>
      </c>
      <c r="H176" s="11">
        <f t="shared" ca="1" si="9"/>
        <v>2364.6250000000009</v>
      </c>
      <c r="I176" s="11">
        <f t="shared" ca="1" si="9"/>
        <v>2691.150000000001</v>
      </c>
      <c r="J176" s="11">
        <f t="shared" ca="1" si="9"/>
        <v>3058.8900000000012</v>
      </c>
      <c r="K176" s="246"/>
      <c r="L176" s="246"/>
      <c r="M176" s="246"/>
      <c r="N176" s="246"/>
    </row>
    <row r="177" spans="1:14" x14ac:dyDescent="0.2">
      <c r="A177" s="399"/>
      <c r="B177" s="251" t="s">
        <v>147</v>
      </c>
      <c r="C177" s="246"/>
      <c r="D177" s="246"/>
      <c r="E177" s="286" t="str">
        <f t="shared" ref="E177:J177" si="10">+IFERROR(E176/D176-1,"N/A")</f>
        <v>N/A</v>
      </c>
      <c r="F177" s="286">
        <f t="shared" ca="1" si="10"/>
        <v>0.21475000000000022</v>
      </c>
      <c r="G177" s="286">
        <f t="shared" ca="1" si="10"/>
        <v>0.13932908005762523</v>
      </c>
      <c r="H177" s="286">
        <f t="shared" ca="1" si="10"/>
        <v>0.13902938342967253</v>
      </c>
      <c r="I177" s="286">
        <f t="shared" ca="1" si="10"/>
        <v>0.1380874345826506</v>
      </c>
      <c r="J177" s="286">
        <f t="shared" ca="1" si="10"/>
        <v>0.13664790145476835</v>
      </c>
      <c r="K177" s="246"/>
      <c r="L177" s="246"/>
      <c r="M177" s="246"/>
      <c r="N177" s="246"/>
    </row>
    <row r="178" spans="1:14" x14ac:dyDescent="0.2">
      <c r="A178" s="399"/>
      <c r="B178" s="246"/>
      <c r="C178" s="246"/>
      <c r="D178" s="246"/>
      <c r="E178" s="33"/>
      <c r="F178" s="32"/>
      <c r="G178" s="32"/>
      <c r="H178" s="32"/>
      <c r="I178" s="32"/>
      <c r="J178" s="32"/>
      <c r="K178" s="246"/>
      <c r="L178" s="246"/>
      <c r="M178" s="246"/>
      <c r="N178" s="246"/>
    </row>
    <row r="179" spans="1:14" x14ac:dyDescent="0.2">
      <c r="A179" s="399"/>
      <c r="B179" t="s">
        <v>148</v>
      </c>
      <c r="C179" s="246"/>
      <c r="D179" s="246"/>
      <c r="E179" s="33">
        <v>-975</v>
      </c>
      <c r="F179" s="32">
        <f ca="1">+(F237*F174)-F174</f>
        <v>-1072.5000000000002</v>
      </c>
      <c r="G179" s="32">
        <f ca="1">+(G237*G174)-G174</f>
        <v>-1179.7500000000005</v>
      </c>
      <c r="H179" s="32">
        <f ca="1">+(H237*H174)-H174</f>
        <v>-1297.7250000000004</v>
      </c>
      <c r="I179" s="32">
        <f ca="1">+(I237*I174)-I174</f>
        <v>-1427.4975000000009</v>
      </c>
      <c r="J179" s="32">
        <f ca="1">+(J237*J174)-J174</f>
        <v>-1570.2472500000008</v>
      </c>
      <c r="K179" s="246"/>
      <c r="L179" s="246"/>
      <c r="M179" s="246"/>
      <c r="N179" s="246"/>
    </row>
    <row r="180" spans="1:14" x14ac:dyDescent="0.2">
      <c r="A180" s="399"/>
      <c r="B180" s="245" t="s">
        <v>149</v>
      </c>
      <c r="C180" s="329"/>
      <c r="D180" s="329"/>
      <c r="E180" s="37">
        <v>0</v>
      </c>
      <c r="F180" s="47">
        <f ca="1">+IF(AND($J$33=1,F$165=1),F107,0)</f>
        <v>-111.88124999999999</v>
      </c>
      <c r="G180" s="47">
        <f ca="1">+IF(AND($J$33=1,G$165=1),G107,0)</f>
        <v>-169.65</v>
      </c>
      <c r="H180" s="47">
        <f ca="1">+IF(AND($J$33=1,H$165=1),H107,0)</f>
        <v>-239.28125</v>
      </c>
      <c r="I180" s="47">
        <f ca="1">+IF(AND($J$33=1,I$165=1),I107,0)</f>
        <v>-321.75</v>
      </c>
      <c r="J180" s="47">
        <f ca="1">+IF(AND($J$33=1,J$165=1),J107,0)</f>
        <v>-418.03125</v>
      </c>
      <c r="K180" s="246"/>
      <c r="L180" s="246"/>
      <c r="M180" s="246"/>
      <c r="N180" s="246"/>
    </row>
    <row r="181" spans="1:14" x14ac:dyDescent="0.2">
      <c r="A181" s="399"/>
      <c r="B181" s="8" t="s">
        <v>116</v>
      </c>
      <c r="C181" s="122"/>
      <c r="D181" s="122"/>
      <c r="E181" s="11">
        <f t="shared" ref="E181:J181" si="11">+E176+SUM(E179:E180)</f>
        <v>525</v>
      </c>
      <c r="F181" s="11">
        <f t="shared" ca="1" si="11"/>
        <v>637.74375000000009</v>
      </c>
      <c r="G181" s="11">
        <f t="shared" ca="1" si="11"/>
        <v>726.59999999999991</v>
      </c>
      <c r="H181" s="11">
        <f t="shared" ca="1" si="11"/>
        <v>827.61875000000055</v>
      </c>
      <c r="I181" s="11">
        <f t="shared" ca="1" si="11"/>
        <v>941.90250000000015</v>
      </c>
      <c r="J181" s="11">
        <f t="shared" ca="1" si="11"/>
        <v>1070.6115000000004</v>
      </c>
      <c r="K181" s="246"/>
      <c r="L181" s="246"/>
      <c r="M181" s="246"/>
      <c r="N181" s="246"/>
    </row>
    <row r="182" spans="1:14" x14ac:dyDescent="0.2">
      <c r="A182" s="399"/>
      <c r="B182" s="251" t="s">
        <v>150</v>
      </c>
      <c r="C182" s="246"/>
      <c r="D182" s="246"/>
      <c r="E182" s="116">
        <f>+E181/E$174</f>
        <v>0.35</v>
      </c>
      <c r="F182" s="116">
        <f ca="1">+F181/F$176</f>
        <v>0.35000000000000003</v>
      </c>
      <c r="G182" s="116">
        <f ca="1">+G181/G$176</f>
        <v>0.34999999999999987</v>
      </c>
      <c r="H182" s="116">
        <f ca="1">+H181/H$176</f>
        <v>0.35000000000000009</v>
      </c>
      <c r="I182" s="116">
        <f ca="1">+I181/I$176</f>
        <v>0.34999999999999992</v>
      </c>
      <c r="J182" s="116">
        <f ca="1">+J181/J$176</f>
        <v>0.35</v>
      </c>
      <c r="K182" s="246"/>
      <c r="L182" s="246"/>
      <c r="M182" s="246"/>
      <c r="N182" s="246"/>
    </row>
    <row r="183" spans="1:14" x14ac:dyDescent="0.2">
      <c r="A183" s="399"/>
      <c r="B183" s="122"/>
      <c r="C183" s="122"/>
      <c r="D183" s="122"/>
      <c r="E183" s="9"/>
      <c r="F183" s="9"/>
      <c r="G183" s="9"/>
      <c r="H183" s="9"/>
      <c r="I183" s="9"/>
      <c r="J183" s="9"/>
      <c r="K183" s="246"/>
      <c r="L183" s="246"/>
      <c r="M183" s="246"/>
      <c r="N183" s="246"/>
    </row>
    <row r="184" spans="1:14" x14ac:dyDescent="0.2">
      <c r="A184" s="399"/>
      <c r="B184" t="s">
        <v>151</v>
      </c>
      <c r="C184" s="246"/>
      <c r="D184" s="246"/>
      <c r="E184" s="33">
        <v>-150</v>
      </c>
      <c r="F184" s="32">
        <f ca="1">-F242*F$174</f>
        <v>-165.00000000000003</v>
      </c>
      <c r="G184" s="32">
        <f ca="1">-G242*G$174</f>
        <v>-181.50000000000006</v>
      </c>
      <c r="H184" s="32">
        <f ca="1">-H242*H$174</f>
        <v>-199.65000000000009</v>
      </c>
      <c r="I184" s="32">
        <f ca="1">-I242*I$174</f>
        <v>-219.61500000000012</v>
      </c>
      <c r="J184" s="32">
        <f ca="1">-J242*J$174</f>
        <v>-241.57650000000012</v>
      </c>
      <c r="K184" s="246"/>
      <c r="L184" s="246"/>
      <c r="M184" s="246"/>
      <c r="N184" s="246"/>
    </row>
    <row r="185" spans="1:14" x14ac:dyDescent="0.2">
      <c r="A185" s="399"/>
      <c r="B185" t="s">
        <v>152</v>
      </c>
      <c r="C185" s="246"/>
      <c r="D185" s="246"/>
      <c r="E185" s="33">
        <v>0</v>
      </c>
      <c r="F185" s="32">
        <f ca="1">+IF(AND($J$33=1,F$165=1),F111,0)</f>
        <v>-12.909374999999999</v>
      </c>
      <c r="G185" s="32">
        <f ca="1">+IF(AND($J$33=1,G$165=1),G111,0)</f>
        <v>-19.574999999999999</v>
      </c>
      <c r="H185" s="32">
        <f ca="1">+IF(AND($J$33=1,H$165=1),H111,0)</f>
        <v>-27.609375</v>
      </c>
      <c r="I185" s="32">
        <f ca="1">+IF(AND($J$33=1,I$165=1),I111,0)</f>
        <v>-37.125</v>
      </c>
      <c r="J185" s="32">
        <f ca="1">+IF(AND($J$33=1,J$165=1),J111,0)</f>
        <v>-48.234375</v>
      </c>
      <c r="K185" s="246"/>
      <c r="L185" s="246"/>
      <c r="M185" s="246"/>
      <c r="N185" s="246"/>
    </row>
    <row r="186" spans="1:14" x14ac:dyDescent="0.2">
      <c r="A186" s="399"/>
      <c r="B186" t="s">
        <v>153</v>
      </c>
      <c r="C186" s="246"/>
      <c r="D186" s="246"/>
      <c r="E186" s="33">
        <v>-30</v>
      </c>
      <c r="F186" s="32">
        <f ca="1">-F247*F$174</f>
        <v>-33.000000000000007</v>
      </c>
      <c r="G186" s="32">
        <f ca="1">-G247*G$174</f>
        <v>-36.300000000000011</v>
      </c>
      <c r="H186" s="32">
        <f ca="1">-H247*H$174</f>
        <v>-39.930000000000014</v>
      </c>
      <c r="I186" s="32">
        <f ca="1">-I247*I$174</f>
        <v>-43.923000000000023</v>
      </c>
      <c r="J186" s="32">
        <f ca="1">-J247*J$174</f>
        <v>-48.315300000000029</v>
      </c>
      <c r="K186" s="246"/>
      <c r="L186" s="246"/>
      <c r="M186" s="246"/>
      <c r="N186" s="246"/>
    </row>
    <row r="187" spans="1:14" x14ac:dyDescent="0.2">
      <c r="A187" s="399"/>
      <c r="B187" t="s">
        <v>154</v>
      </c>
      <c r="C187" s="246"/>
      <c r="D187" s="246"/>
      <c r="E187" s="33">
        <v>0</v>
      </c>
      <c r="F187" s="32">
        <f ca="1">+IF(AND($J$33=1,F$165=1),F112,0)</f>
        <v>-4.3031250000000005</v>
      </c>
      <c r="G187" s="32">
        <f ca="1">+IF(AND($J$33=1,G$165=1),G112,0)</f>
        <v>-6.5250000000000004</v>
      </c>
      <c r="H187" s="32">
        <f ca="1">+IF(AND($J$33=1,H$165=1),H112,0)</f>
        <v>-9.203125</v>
      </c>
      <c r="I187" s="32">
        <f ca="1">+IF(AND($J$33=1,I$165=1),I112,0)</f>
        <v>-12.375</v>
      </c>
      <c r="J187" s="32">
        <f ca="1">+IF(AND($J$33=1,J$165=1),J112,0)</f>
        <v>-16.078125</v>
      </c>
      <c r="K187" s="246"/>
      <c r="L187" s="246"/>
      <c r="M187" s="246"/>
      <c r="N187" s="246"/>
    </row>
    <row r="188" spans="1:14" x14ac:dyDescent="0.2">
      <c r="A188" s="399"/>
      <c r="B188" s="75" t="s">
        <v>120</v>
      </c>
      <c r="C188" s="391"/>
      <c r="D188" s="391"/>
      <c r="E188" s="76">
        <f t="shared" ref="E188:J188" si="12">+E181+SUM(E184:E187)</f>
        <v>345</v>
      </c>
      <c r="F188" s="76">
        <f t="shared" ca="1" si="12"/>
        <v>422.53125000000006</v>
      </c>
      <c r="G188" s="76">
        <f t="shared" ca="1" si="12"/>
        <v>482.69999999999982</v>
      </c>
      <c r="H188" s="76">
        <f t="shared" ca="1" si="12"/>
        <v>551.22625000000039</v>
      </c>
      <c r="I188" s="76">
        <f t="shared" ca="1" si="12"/>
        <v>628.86450000000002</v>
      </c>
      <c r="J188" s="76">
        <f t="shared" ca="1" si="12"/>
        <v>716.40720000000033</v>
      </c>
      <c r="K188" s="246"/>
      <c r="L188" s="246"/>
      <c r="M188" s="246"/>
      <c r="N188" s="246"/>
    </row>
    <row r="189" spans="1:14" x14ac:dyDescent="0.2">
      <c r="A189" s="399"/>
      <c r="B189" s="245" t="s">
        <v>155</v>
      </c>
      <c r="C189" s="329"/>
      <c r="D189" s="329"/>
      <c r="E189" s="77">
        <v>0</v>
      </c>
      <c r="F189" s="47">
        <f ca="1">-F295</f>
        <v>-9.8741883116883038</v>
      </c>
      <c r="G189" s="47">
        <f t="shared" ref="G189:J189" ca="1" si="13">-G295</f>
        <v>-9.5115753811405668</v>
      </c>
      <c r="H189" s="47">
        <f t="shared" ca="1" si="13"/>
        <v>-9.1306802837994141</v>
      </c>
      <c r="I189" s="47">
        <f t="shared" ca="1" si="13"/>
        <v>-8.6998203571722179</v>
      </c>
      <c r="J189" s="47">
        <f t="shared" ca="1" si="13"/>
        <v>-8.1958625670412317</v>
      </c>
      <c r="K189" s="246"/>
      <c r="L189" s="246"/>
      <c r="M189" s="246"/>
      <c r="N189" s="246"/>
    </row>
    <row r="190" spans="1:14" x14ac:dyDescent="0.2">
      <c r="A190" s="399"/>
      <c r="B190" s="8" t="s">
        <v>156</v>
      </c>
      <c r="C190" s="122"/>
      <c r="D190" s="122"/>
      <c r="E190" s="11">
        <f t="shared" ref="E190:J190" si="14">SUM(E188:E189)</f>
        <v>345</v>
      </c>
      <c r="F190" s="11">
        <f t="shared" ca="1" si="14"/>
        <v>412.65706168831173</v>
      </c>
      <c r="G190" s="11">
        <f t="shared" ca="1" si="14"/>
        <v>473.18842461885924</v>
      </c>
      <c r="H190" s="11">
        <f t="shared" ca="1" si="14"/>
        <v>542.095569716201</v>
      </c>
      <c r="I190" s="11">
        <f t="shared" ca="1" si="14"/>
        <v>620.16467964282776</v>
      </c>
      <c r="J190" s="11">
        <f t="shared" ca="1" si="14"/>
        <v>708.21133743295911</v>
      </c>
      <c r="K190" s="246"/>
      <c r="L190" s="246"/>
      <c r="M190" s="246"/>
      <c r="N190" s="246"/>
    </row>
    <row r="191" spans="1:14" x14ac:dyDescent="0.2">
      <c r="A191" s="399"/>
      <c r="B191" s="251" t="s">
        <v>157</v>
      </c>
      <c r="C191" s="122"/>
      <c r="D191" s="122"/>
      <c r="E191" s="116">
        <f>+E188/E$174</f>
        <v>0.23</v>
      </c>
      <c r="F191" s="116">
        <f ca="1">+F190/F$176</f>
        <v>0.22647022662457936</v>
      </c>
      <c r="G191" s="116">
        <f ca="1">+G190/G$176</f>
        <v>0.22793276715744659</v>
      </c>
      <c r="H191" s="116">
        <f ca="1">+H190/H$176</f>
        <v>0.229252236492552</v>
      </c>
      <c r="I191" s="116">
        <f ca="1">+I190/I$176</f>
        <v>0.23044597277848783</v>
      </c>
      <c r="J191" s="116">
        <f ca="1">+J190/J$176</f>
        <v>0.23152559831604236</v>
      </c>
      <c r="K191" s="246"/>
      <c r="L191" s="246"/>
      <c r="M191" s="246"/>
      <c r="N191" s="246"/>
    </row>
    <row r="192" spans="1:14" x14ac:dyDescent="0.2">
      <c r="A192" s="399"/>
      <c r="B192" s="122"/>
      <c r="C192" s="122"/>
      <c r="D192" s="122"/>
      <c r="E192" s="9"/>
      <c r="F192" s="9"/>
      <c r="G192" s="9"/>
      <c r="H192" s="9"/>
      <c r="I192" s="9"/>
      <c r="J192" s="9"/>
      <c r="K192" s="246"/>
      <c r="L192" s="246"/>
      <c r="M192" s="246"/>
      <c r="N192" s="246"/>
    </row>
    <row r="193" spans="1:14" x14ac:dyDescent="0.2">
      <c r="A193" s="399"/>
      <c r="B193" t="s">
        <v>158</v>
      </c>
      <c r="C193" s="246"/>
      <c r="D193" s="246"/>
      <c r="E193" s="33">
        <v>-30</v>
      </c>
      <c r="F193" s="32">
        <f ca="1">-F252*F174</f>
        <v>-33.000000000000007</v>
      </c>
      <c r="G193" s="32">
        <f ca="1">-G252*G174</f>
        <v>-36.300000000000011</v>
      </c>
      <c r="H193" s="32">
        <f ca="1">-H252*H174</f>
        <v>-39.930000000000014</v>
      </c>
      <c r="I193" s="32">
        <f ca="1">-I252*I174</f>
        <v>-43.923000000000023</v>
      </c>
      <c r="J193" s="32">
        <f ca="1">-J252*J174</f>
        <v>-48.315300000000029</v>
      </c>
      <c r="K193" s="246"/>
      <c r="L193" s="246"/>
      <c r="M193" s="246"/>
      <c r="N193" s="246"/>
    </row>
    <row r="194" spans="1:14" x14ac:dyDescent="0.2">
      <c r="A194" s="399"/>
      <c r="B194" t="s">
        <v>159</v>
      </c>
      <c r="C194" s="246"/>
      <c r="D194" s="246"/>
      <c r="E194" s="33">
        <v>0</v>
      </c>
      <c r="F194" s="32">
        <f>-$J$56</f>
        <v>-25.79666666666667</v>
      </c>
      <c r="G194" s="32">
        <f>-$J$56</f>
        <v>-25.79666666666667</v>
      </c>
      <c r="H194" s="32">
        <f>-$J$56</f>
        <v>-25.79666666666667</v>
      </c>
      <c r="I194" s="32">
        <f>-$J$56</f>
        <v>-25.79666666666667</v>
      </c>
      <c r="J194" s="32">
        <f>-$J$56</f>
        <v>-25.79666666666667</v>
      </c>
      <c r="K194" s="246"/>
      <c r="L194" s="246"/>
      <c r="M194" s="246"/>
      <c r="N194" s="246"/>
    </row>
    <row r="195" spans="1:14" x14ac:dyDescent="0.2">
      <c r="A195" s="399"/>
      <c r="B195" t="s">
        <v>299</v>
      </c>
      <c r="C195" s="246"/>
      <c r="D195" s="246"/>
      <c r="E195" s="33">
        <v>0</v>
      </c>
      <c r="F195" s="32">
        <f>-$J$63</f>
        <v>-12.5</v>
      </c>
      <c r="G195" s="32">
        <f>-$J$63</f>
        <v>-12.5</v>
      </c>
      <c r="H195" s="32">
        <f>-$J$63</f>
        <v>-12.5</v>
      </c>
      <c r="I195" s="32">
        <f>-$J$63</f>
        <v>-12.5</v>
      </c>
      <c r="J195" s="32">
        <f>-$J$63</f>
        <v>-12.5</v>
      </c>
      <c r="K195" s="246"/>
      <c r="L195" s="246"/>
      <c r="M195" s="246"/>
      <c r="N195" s="246"/>
    </row>
    <row r="196" spans="1:14" x14ac:dyDescent="0.2">
      <c r="A196" s="399"/>
      <c r="B196" s="245" t="s">
        <v>161</v>
      </c>
      <c r="C196" s="329"/>
      <c r="D196" s="329"/>
      <c r="E196" s="78">
        <v>0</v>
      </c>
      <c r="F196" s="47">
        <f>-$E$22</f>
        <v>-5</v>
      </c>
      <c r="G196" s="47">
        <f>-$E$22</f>
        <v>-5</v>
      </c>
      <c r="H196" s="47">
        <f>-$E$22</f>
        <v>-5</v>
      </c>
      <c r="I196" s="47">
        <f>-$E$22</f>
        <v>-5</v>
      </c>
      <c r="J196" s="47">
        <f>-$E$22</f>
        <v>-5</v>
      </c>
      <c r="K196" s="246"/>
      <c r="L196" s="246"/>
      <c r="M196" s="246"/>
      <c r="N196" s="246"/>
    </row>
    <row r="197" spans="1:14" x14ac:dyDescent="0.2">
      <c r="A197" s="399"/>
      <c r="B197" s="8" t="s">
        <v>162</v>
      </c>
      <c r="C197" s="122"/>
      <c r="D197" s="122"/>
      <c r="E197" s="11">
        <f t="shared" ref="E197:J197" si="15">+E190+SUM(E193:E196)</f>
        <v>315</v>
      </c>
      <c r="F197" s="11">
        <f t="shared" ca="1" si="15"/>
        <v>336.36039502164505</v>
      </c>
      <c r="G197" s="11">
        <f t="shared" ca="1" si="15"/>
        <v>393.59175795219255</v>
      </c>
      <c r="H197" s="11">
        <f t="shared" ca="1" si="15"/>
        <v>458.86890304953431</v>
      </c>
      <c r="I197" s="11">
        <f t="shared" ca="1" si="15"/>
        <v>532.94501297616102</v>
      </c>
      <c r="J197" s="11">
        <f t="shared" ca="1" si="15"/>
        <v>616.5993707662924</v>
      </c>
      <c r="K197" s="246"/>
      <c r="L197" s="246"/>
      <c r="M197" s="246"/>
      <c r="N197" s="246"/>
    </row>
    <row r="198" spans="1:14" x14ac:dyDescent="0.2">
      <c r="A198" s="399"/>
      <c r="B198" s="251" t="s">
        <v>163</v>
      </c>
      <c r="C198" s="122"/>
      <c r="D198" s="122"/>
      <c r="E198" s="116">
        <f>+E197/E$174</f>
        <v>0.21</v>
      </c>
      <c r="F198" s="116">
        <f ca="1">+F197/F$176</f>
        <v>0.18459787062997599</v>
      </c>
      <c r="G198" s="116">
        <f ca="1">+G197/G$176</f>
        <v>0.18959140556463991</v>
      </c>
      <c r="H198" s="116">
        <f ca="1">+H197/H$176</f>
        <v>0.19405567607951965</v>
      </c>
      <c r="I198" s="116">
        <f ca="1">+I197/I$176</f>
        <v>0.19803616036867541</v>
      </c>
      <c r="J198" s="116">
        <f ca="1">+J197/J$176</f>
        <v>0.20157618311423167</v>
      </c>
      <c r="K198" s="246"/>
      <c r="L198" s="246"/>
      <c r="M198" s="246"/>
      <c r="N198" s="246"/>
    </row>
    <row r="199" spans="1:14" x14ac:dyDescent="0.2">
      <c r="A199" s="399"/>
      <c r="B199" s="122"/>
      <c r="C199" s="122"/>
      <c r="D199" s="122"/>
      <c r="E199" s="9"/>
      <c r="F199" s="9"/>
      <c r="G199" s="9"/>
      <c r="H199" s="9"/>
      <c r="I199" s="9"/>
      <c r="J199" s="9"/>
      <c r="K199" s="246"/>
      <c r="L199" s="246"/>
      <c r="M199" s="246"/>
      <c r="N199" s="246"/>
    </row>
    <row r="200" spans="1:14" x14ac:dyDescent="0.2">
      <c r="A200" s="399"/>
      <c r="B200" t="s">
        <v>164</v>
      </c>
      <c r="C200" s="246"/>
      <c r="D200" s="246"/>
      <c r="E200" s="33">
        <v>-15</v>
      </c>
      <c r="F200" s="32">
        <f ca="1">-IF($J$23=1,SUM(F316,F318,F329,F350),0)</f>
        <v>-122.36676127307503</v>
      </c>
      <c r="G200" s="32">
        <f ca="1">-IF($J$23=1,SUM(G316,G318,G329,G350),0)</f>
        <v>-128.19660795160948</v>
      </c>
      <c r="H200" s="32">
        <f ca="1">-IF($J$23=1,SUM(H316,H318,H329,H350),0)</f>
        <v>-119.73119164235037</v>
      </c>
      <c r="I200" s="32">
        <f ca="1">-IF($J$23=1,SUM(I316,I318,I329,I350),0)</f>
        <v>-230.37304517301925</v>
      </c>
      <c r="J200" s="32">
        <f ca="1">-IF($J$23=1,SUM(J316,J318,J329,J350),0)</f>
        <v>-217.06528901931415</v>
      </c>
      <c r="K200" s="246"/>
      <c r="L200" s="246"/>
      <c r="M200" s="246"/>
      <c r="N200" s="246"/>
    </row>
    <row r="201" spans="1:14" x14ac:dyDescent="0.2">
      <c r="A201" s="399"/>
      <c r="B201" s="245" t="s">
        <v>165</v>
      </c>
      <c r="C201" s="329"/>
      <c r="D201" s="329"/>
      <c r="E201" s="37">
        <v>0</v>
      </c>
      <c r="F201" s="47">
        <f>-IF($J$23=1,$J$30/$J$21+F352,0)</f>
        <v>-7.7624999999999993</v>
      </c>
      <c r="G201" s="47">
        <f>-IF($J$23=1,$J$30/$J$21+G352,0)</f>
        <v>-7.7624999999999993</v>
      </c>
      <c r="H201" s="47">
        <f>-IF($J$23=1,$J$30/$J$21+H352,0)</f>
        <v>-7.7624999999999993</v>
      </c>
      <c r="I201" s="47">
        <f ca="1">-IF($J$23=1,$J$30/$J$21+I352,0)</f>
        <v>-11.325114474161147</v>
      </c>
      <c r="J201" s="47">
        <f ca="1">-IF($J$23=1,$J$30/$J$21+J352,0)</f>
        <v>-11.325114474161147</v>
      </c>
      <c r="K201" s="246"/>
      <c r="L201" s="246"/>
      <c r="M201" s="246"/>
      <c r="N201" s="246"/>
    </row>
    <row r="202" spans="1:14" x14ac:dyDescent="0.2">
      <c r="A202" s="399"/>
      <c r="B202" s="8" t="s">
        <v>166</v>
      </c>
      <c r="C202" s="122"/>
      <c r="D202" s="122"/>
      <c r="E202" s="11">
        <f t="shared" ref="E202:J202" si="16">+E197+SUM(E200:E201)</f>
        <v>300</v>
      </c>
      <c r="F202" s="11">
        <f t="shared" ca="1" si="16"/>
        <v>206.23113374857002</v>
      </c>
      <c r="G202" s="11">
        <f t="shared" ca="1" si="16"/>
        <v>257.63265000058311</v>
      </c>
      <c r="H202" s="11">
        <f t="shared" ca="1" si="16"/>
        <v>331.37521140718394</v>
      </c>
      <c r="I202" s="11">
        <f t="shared" ca="1" si="16"/>
        <v>291.24685332898059</v>
      </c>
      <c r="J202" s="11">
        <f t="shared" ca="1" si="16"/>
        <v>388.20896727281706</v>
      </c>
      <c r="K202" s="246"/>
      <c r="L202" s="246"/>
      <c r="M202" s="246"/>
      <c r="N202" s="246"/>
    </row>
    <row r="203" spans="1:14" x14ac:dyDescent="0.2">
      <c r="A203" s="399"/>
      <c r="B203" t="s">
        <v>167</v>
      </c>
      <c r="C203" s="246"/>
      <c r="D203" s="246"/>
      <c r="E203" s="33">
        <v>-75</v>
      </c>
      <c r="F203" s="32">
        <f ca="1">-$E$23*F202</f>
        <v>-51.557783437142504</v>
      </c>
      <c r="G203" s="32">
        <f ca="1">-$E$23*G202</f>
        <v>-64.408162500145778</v>
      </c>
      <c r="H203" s="32">
        <f ca="1">-$E$23*H202</f>
        <v>-82.843802851795985</v>
      </c>
      <c r="I203" s="32">
        <f ca="1">-$E$23*I202</f>
        <v>-72.811713332245148</v>
      </c>
      <c r="J203" s="32">
        <f ca="1">-$E$23*J202</f>
        <v>-97.052241818204266</v>
      </c>
      <c r="K203" s="246"/>
      <c r="L203" s="246"/>
      <c r="M203" s="246"/>
      <c r="N203" s="246"/>
    </row>
    <row r="204" spans="1:14" x14ac:dyDescent="0.2">
      <c r="A204" s="399"/>
      <c r="B204" s="75" t="s">
        <v>168</v>
      </c>
      <c r="C204" s="391"/>
      <c r="D204" s="391"/>
      <c r="E204" s="76">
        <f t="shared" ref="E204:J204" si="17">+SUM(E202:E203)</f>
        <v>225</v>
      </c>
      <c r="F204" s="76">
        <f t="shared" ca="1" si="17"/>
        <v>154.6733503114275</v>
      </c>
      <c r="G204" s="76">
        <f t="shared" ca="1" si="17"/>
        <v>193.22448750043733</v>
      </c>
      <c r="H204" s="76">
        <f t="shared" ca="1" si="17"/>
        <v>248.53140855538794</v>
      </c>
      <c r="I204" s="76">
        <f t="shared" ca="1" si="17"/>
        <v>218.43513999673544</v>
      </c>
      <c r="J204" s="76">
        <f t="shared" ca="1" si="17"/>
        <v>291.1567254546128</v>
      </c>
      <c r="K204" s="246"/>
      <c r="L204" s="246"/>
      <c r="M204" s="246"/>
      <c r="N204" s="246"/>
    </row>
    <row r="205" spans="1:14" x14ac:dyDescent="0.2">
      <c r="A205" s="399"/>
      <c r="B205" t="s">
        <v>169</v>
      </c>
      <c r="C205" s="246"/>
      <c r="D205" s="246"/>
      <c r="E205" s="246"/>
      <c r="F205" s="32">
        <f ca="1">-F193</f>
        <v>33.000000000000007</v>
      </c>
      <c r="G205" s="32">
        <f ca="1">-G193</f>
        <v>36.300000000000011</v>
      </c>
      <c r="H205" s="32">
        <f ca="1">-H193</f>
        <v>39.930000000000014</v>
      </c>
      <c r="I205" s="32">
        <f ca="1">-I193</f>
        <v>43.923000000000023</v>
      </c>
      <c r="J205" s="32">
        <f ca="1">-J193</f>
        <v>48.315300000000029</v>
      </c>
      <c r="K205" s="246"/>
      <c r="L205" s="246"/>
      <c r="M205" s="246"/>
      <c r="N205" s="246"/>
    </row>
    <row r="206" spans="1:14" x14ac:dyDescent="0.2">
      <c r="A206" s="399"/>
      <c r="B206" t="s">
        <v>170</v>
      </c>
      <c r="C206" s="246"/>
      <c r="D206" s="246"/>
      <c r="E206" s="246"/>
      <c r="F206" s="32">
        <f>-F201</f>
        <v>7.7624999999999993</v>
      </c>
      <c r="G206" s="32">
        <f>-G201</f>
        <v>7.7624999999999993</v>
      </c>
      <c r="H206" s="32">
        <f>-H201</f>
        <v>7.7624999999999993</v>
      </c>
      <c r="I206" s="32">
        <f ca="1">-I201</f>
        <v>11.325114474161147</v>
      </c>
      <c r="J206" s="32">
        <f ca="1">-J201</f>
        <v>11.325114474161147</v>
      </c>
      <c r="K206" s="246"/>
      <c r="L206" s="246"/>
      <c r="M206" s="246"/>
      <c r="N206" s="246"/>
    </row>
    <row r="207" spans="1:14" x14ac:dyDescent="0.2">
      <c r="A207" s="399"/>
      <c r="B207" t="s">
        <v>171</v>
      </c>
      <c r="C207" s="246"/>
      <c r="D207" s="246"/>
      <c r="E207" s="246"/>
      <c r="F207" s="32">
        <f t="shared" ref="F207:J208" si="18">-F194</f>
        <v>25.79666666666667</v>
      </c>
      <c r="G207" s="32">
        <f t="shared" si="18"/>
        <v>25.79666666666667</v>
      </c>
      <c r="H207" s="32">
        <f t="shared" si="18"/>
        <v>25.79666666666667</v>
      </c>
      <c r="I207" s="32">
        <f t="shared" si="18"/>
        <v>25.79666666666667</v>
      </c>
      <c r="J207" s="32">
        <f t="shared" si="18"/>
        <v>25.79666666666667</v>
      </c>
      <c r="K207" s="246"/>
      <c r="L207" s="246"/>
      <c r="M207" s="246"/>
      <c r="N207" s="246"/>
    </row>
    <row r="208" spans="1:14" x14ac:dyDescent="0.2">
      <c r="A208" s="399"/>
      <c r="B208" t="s">
        <v>160</v>
      </c>
      <c r="C208" s="246"/>
      <c r="D208" s="246"/>
      <c r="E208" s="246"/>
      <c r="F208" s="32">
        <f t="shared" si="18"/>
        <v>12.5</v>
      </c>
      <c r="G208" s="32">
        <f t="shared" si="18"/>
        <v>12.5</v>
      </c>
      <c r="H208" s="32">
        <f t="shared" si="18"/>
        <v>12.5</v>
      </c>
      <c r="I208" s="32">
        <f t="shared" si="18"/>
        <v>12.5</v>
      </c>
      <c r="J208" s="32">
        <f t="shared" si="18"/>
        <v>12.5</v>
      </c>
      <c r="K208" s="246"/>
      <c r="L208" s="246"/>
      <c r="M208" s="246"/>
      <c r="N208" s="246"/>
    </row>
    <row r="209" spans="1:14" x14ac:dyDescent="0.2">
      <c r="A209" s="399"/>
      <c r="B209" t="s">
        <v>172</v>
      </c>
      <c r="C209" s="246"/>
      <c r="D209" s="246"/>
      <c r="E209" s="246"/>
      <c r="F209" s="32">
        <f>-SUM($J$58,$J$65)</f>
        <v>-9.5741666666666667</v>
      </c>
      <c r="G209" s="32">
        <f>-SUM($J$58,$J$65)</f>
        <v>-9.5741666666666667</v>
      </c>
      <c r="H209" s="32">
        <f>-SUM($J$58,$J$65)</f>
        <v>-9.5741666666666667</v>
      </c>
      <c r="I209" s="32">
        <f>-SUM($J$58,$J$65)</f>
        <v>-9.5741666666666667</v>
      </c>
      <c r="J209" s="32">
        <f>-SUM($J$58,$J$65)</f>
        <v>-9.5741666666666667</v>
      </c>
      <c r="K209" s="246"/>
      <c r="L209" s="246"/>
      <c r="M209" s="246"/>
      <c r="N209" s="246"/>
    </row>
    <row r="210" spans="1:14" x14ac:dyDescent="0.2">
      <c r="A210" s="399"/>
      <c r="B210" t="s">
        <v>173</v>
      </c>
      <c r="C210" s="246"/>
      <c r="D210" s="246"/>
      <c r="E210" s="246"/>
      <c r="F210" s="32">
        <f ca="1">-F262*F174</f>
        <v>-24.750000000000004</v>
      </c>
      <c r="G210" s="32">
        <f ca="1">-G262*G174</f>
        <v>-27.225000000000005</v>
      </c>
      <c r="H210" s="32">
        <f ca="1">-H262*H174</f>
        <v>-29.947500000000009</v>
      </c>
      <c r="I210" s="32">
        <f ca="1">-I262*I174</f>
        <v>-32.942250000000016</v>
      </c>
      <c r="J210" s="32">
        <f ca="1">-J262*J174</f>
        <v>-36.23647500000002</v>
      </c>
      <c r="K210" s="246"/>
      <c r="L210" s="246"/>
      <c r="M210" s="246"/>
      <c r="N210" s="246"/>
    </row>
    <row r="211" spans="1:14" x14ac:dyDescent="0.2">
      <c r="A211" s="399"/>
      <c r="B211" t="s">
        <v>174</v>
      </c>
      <c r="C211" s="246"/>
      <c r="D211" s="246"/>
      <c r="E211" s="246"/>
      <c r="F211" s="32">
        <f ca="1">-F257*F$174</f>
        <v>-24.750000000000004</v>
      </c>
      <c r="G211" s="32">
        <f ca="1">-G257*G$174</f>
        <v>-27.225000000000005</v>
      </c>
      <c r="H211" s="32">
        <f ca="1">-H257*H$174</f>
        <v>-29.947500000000009</v>
      </c>
      <c r="I211" s="32">
        <f ca="1">-I257*I$174</f>
        <v>-32.942250000000016</v>
      </c>
      <c r="J211" s="32">
        <f ca="1">-J257*J$174</f>
        <v>-36.23647500000002</v>
      </c>
      <c r="K211" s="246"/>
      <c r="L211" s="246"/>
      <c r="M211" s="246"/>
      <c r="N211" s="246"/>
    </row>
    <row r="212" spans="1:14" x14ac:dyDescent="0.2">
      <c r="A212" s="399"/>
      <c r="B212" t="s">
        <v>175</v>
      </c>
      <c r="C212" s="246"/>
      <c r="D212" s="246"/>
      <c r="E212" s="246"/>
      <c r="F212" s="32">
        <f ca="1">-IF(AND($J$33=1,$J$35=F172),F168,0)</f>
        <v>-408.796875</v>
      </c>
      <c r="G212" s="32">
        <f>-IF(AND($J$33=1,$J$35=G172),G168,0)</f>
        <v>0</v>
      </c>
      <c r="H212" s="32">
        <f>-IF(AND($J$33=1,$J$35=H172),H168,0)</f>
        <v>0</v>
      </c>
      <c r="I212" s="32">
        <f>-IF(AND($J$33=1,$J$35=I172),I168,0)</f>
        <v>0</v>
      </c>
      <c r="J212" s="32">
        <f>-IF(AND($J$33=1,$J$35=J172),J168,0)</f>
        <v>0</v>
      </c>
      <c r="K212" s="246"/>
      <c r="L212" s="246"/>
      <c r="M212" s="246"/>
      <c r="N212" s="246"/>
    </row>
    <row r="213" spans="1:14" x14ac:dyDescent="0.2">
      <c r="A213" s="399"/>
      <c r="B213" t="s">
        <v>176</v>
      </c>
      <c r="C213" s="246"/>
      <c r="D213" s="246"/>
      <c r="E213" s="246"/>
      <c r="F213" s="32">
        <f>+F324</f>
        <v>-103.5</v>
      </c>
      <c r="G213" s="32">
        <f t="shared" ref="G213:J213" ca="1" si="19">+G324</f>
        <v>-103.5</v>
      </c>
      <c r="H213" s="32">
        <f t="shared" ca="1" si="19"/>
        <v>-103.5</v>
      </c>
      <c r="I213" s="32">
        <f ca="1">+I324</f>
        <v>-103.5</v>
      </c>
      <c r="J213" s="32">
        <f t="shared" ca="1" si="19"/>
        <v>-103.5</v>
      </c>
      <c r="K213" s="246"/>
      <c r="L213" s="246"/>
      <c r="M213" s="246"/>
      <c r="N213" s="246"/>
    </row>
    <row r="214" spans="1:14" x14ac:dyDescent="0.2">
      <c r="A214" s="399"/>
      <c r="B214" t="s">
        <v>177</v>
      </c>
      <c r="C214" s="246"/>
      <c r="D214" s="246"/>
      <c r="E214" s="246"/>
      <c r="F214" s="33">
        <v>0</v>
      </c>
      <c r="G214" s="33">
        <v>0</v>
      </c>
      <c r="H214" s="32">
        <f>H346</f>
        <v>0</v>
      </c>
      <c r="I214" s="32">
        <f t="shared" ref="I214:J214" ca="1" si="20">I346</f>
        <v>1425.0457896644589</v>
      </c>
      <c r="J214" s="32">
        <f t="shared" si="20"/>
        <v>0</v>
      </c>
      <c r="K214" s="246"/>
      <c r="L214" s="246"/>
      <c r="M214" s="246"/>
      <c r="N214" s="246"/>
    </row>
    <row r="215" spans="1:14" x14ac:dyDescent="0.2">
      <c r="A215" s="399"/>
      <c r="B215" s="245" t="s">
        <v>178</v>
      </c>
      <c r="C215" s="329"/>
      <c r="D215" s="329"/>
      <c r="E215" s="329"/>
      <c r="F215" s="37">
        <v>0</v>
      </c>
      <c r="G215" s="37">
        <v>0</v>
      </c>
      <c r="H215" s="47">
        <f>-H214</f>
        <v>0</v>
      </c>
      <c r="I215" s="47">
        <f ca="1">-I214</f>
        <v>-1425.0457896644589</v>
      </c>
      <c r="J215" s="47">
        <f>-J214</f>
        <v>0</v>
      </c>
      <c r="K215" s="246"/>
      <c r="L215" s="246"/>
      <c r="M215" s="246"/>
      <c r="N215" s="246"/>
    </row>
    <row r="216" spans="1:14" x14ac:dyDescent="0.2">
      <c r="A216" s="399"/>
      <c r="B216" s="8" t="s">
        <v>179</v>
      </c>
      <c r="C216" s="122"/>
      <c r="D216" s="122"/>
      <c r="E216" s="122"/>
      <c r="F216" s="11">
        <f ca="1">SUM(F204:F215)</f>
        <v>-337.63852468857249</v>
      </c>
      <c r="G216" s="11">
        <f ca="1">SUM(G204:G215)</f>
        <v>108.05948750043734</v>
      </c>
      <c r="H216" s="11">
        <f ca="1">SUM(H204:H215)</f>
        <v>161.55140855538798</v>
      </c>
      <c r="I216" s="11">
        <f ca="1">SUM(I204:I215)</f>
        <v>133.02125447089657</v>
      </c>
      <c r="J216" s="11">
        <f ca="1">SUM(J204:J215)</f>
        <v>203.5466899287739</v>
      </c>
      <c r="K216" s="246"/>
      <c r="L216" s="246"/>
      <c r="M216" s="246"/>
      <c r="N216" s="246"/>
    </row>
    <row r="217" spans="1:14" x14ac:dyDescent="0.2">
      <c r="A217" s="399"/>
      <c r="B217" s="245" t="s">
        <v>180</v>
      </c>
      <c r="C217" s="329"/>
      <c r="D217" s="329"/>
      <c r="E217" s="329"/>
      <c r="F217" s="47">
        <f ca="1">+F307</f>
        <v>337.63852468857249</v>
      </c>
      <c r="G217" s="47">
        <f ca="1">+G307</f>
        <v>-108.05948750043734</v>
      </c>
      <c r="H217" s="47">
        <f ca="1">+H307</f>
        <v>-161.55140855538798</v>
      </c>
      <c r="I217" s="47">
        <f ca="1">+I307</f>
        <v>-68.027628632747167</v>
      </c>
      <c r="J217" s="47">
        <f ca="1">+J307</f>
        <v>0</v>
      </c>
      <c r="K217" s="246"/>
      <c r="L217" s="246"/>
      <c r="M217" s="246"/>
      <c r="N217" s="246"/>
    </row>
    <row r="218" spans="1:14" x14ac:dyDescent="0.2">
      <c r="A218" s="399"/>
      <c r="B218" s="8" t="s">
        <v>181</v>
      </c>
      <c r="C218" s="122"/>
      <c r="D218" s="122"/>
      <c r="E218" s="122"/>
      <c r="F218" s="11">
        <f ca="1">+SUM(F216:F217)</f>
        <v>0</v>
      </c>
      <c r="G218" s="11">
        <f ca="1">+SUM(G216:G217)</f>
        <v>0</v>
      </c>
      <c r="H218" s="11">
        <f ca="1">+SUM(H216:H217)</f>
        <v>0</v>
      </c>
      <c r="I218" s="11">
        <f ca="1">+SUM(I216:I217)</f>
        <v>64.993625838149399</v>
      </c>
      <c r="J218" s="11">
        <f ca="1">+SUM(J216:J217)</f>
        <v>203.5466899287739</v>
      </c>
      <c r="K218" s="246"/>
      <c r="L218" s="246"/>
      <c r="M218" s="246"/>
      <c r="N218" s="246"/>
    </row>
    <row r="219" spans="1:14" x14ac:dyDescent="0.2">
      <c r="A219" s="399"/>
      <c r="B219" s="245" t="s">
        <v>182</v>
      </c>
      <c r="C219" s="329"/>
      <c r="D219" s="329"/>
      <c r="E219" s="329"/>
      <c r="F219" s="47">
        <f t="shared" ref="F219:G219" ca="1" si="21">+SUM(F325)</f>
        <v>0</v>
      </c>
      <c r="G219" s="47">
        <f t="shared" ca="1" si="21"/>
        <v>0</v>
      </c>
      <c r="H219" s="47">
        <f ca="1">+SUM(H325)</f>
        <v>0</v>
      </c>
      <c r="I219" s="47">
        <f t="shared" ref="I219:J219" ca="1" si="22">+SUM(I325)</f>
        <v>-64.993625838149399</v>
      </c>
      <c r="J219" s="47">
        <f t="shared" ca="1" si="22"/>
        <v>-203.5466899287739</v>
      </c>
      <c r="K219" s="246"/>
      <c r="L219" s="246"/>
      <c r="M219" s="246"/>
      <c r="N219" s="246"/>
    </row>
    <row r="220" spans="1:14" x14ac:dyDescent="0.2">
      <c r="A220" s="399"/>
      <c r="B220" s="8" t="s">
        <v>183</v>
      </c>
      <c r="C220" s="122"/>
      <c r="D220" s="122"/>
      <c r="E220" s="122"/>
      <c r="F220" s="11">
        <f ca="1">SUM(F218:F219)</f>
        <v>0</v>
      </c>
      <c r="G220" s="11">
        <f ca="1">SUM(G218:G219)</f>
        <v>0</v>
      </c>
      <c r="H220" s="11">
        <f ca="1">SUM(H218:H219)</f>
        <v>0</v>
      </c>
      <c r="I220" s="11">
        <f ca="1">SUM(I218:I219)</f>
        <v>0</v>
      </c>
      <c r="J220" s="11">
        <f ca="1">SUM(J218:J219)</f>
        <v>0</v>
      </c>
      <c r="K220" s="246"/>
      <c r="L220" s="246"/>
      <c r="M220" s="246"/>
      <c r="N220" s="246"/>
    </row>
    <row r="221" spans="1:14" x14ac:dyDescent="0.2">
      <c r="A221" s="399"/>
      <c r="B221" s="122"/>
      <c r="C221" s="122"/>
      <c r="D221" s="122"/>
      <c r="E221" s="122"/>
      <c r="F221" s="9"/>
      <c r="G221" s="9"/>
      <c r="H221" s="9"/>
      <c r="I221" s="9"/>
      <c r="J221" s="9"/>
      <c r="K221" s="246"/>
      <c r="L221" s="246"/>
      <c r="M221" s="246"/>
      <c r="N221" s="246"/>
    </row>
    <row r="222" spans="1:14" x14ac:dyDescent="0.2">
      <c r="A222" s="399"/>
      <c r="B222" s="72" t="s">
        <v>184</v>
      </c>
      <c r="C222" s="122"/>
      <c r="D222" s="122"/>
      <c r="E222" s="122"/>
      <c r="F222" s="9"/>
      <c r="G222" s="9"/>
      <c r="H222" s="9"/>
      <c r="I222" s="9"/>
      <c r="J222" s="9"/>
      <c r="K222" s="246"/>
      <c r="L222" s="246"/>
      <c r="M222" s="246"/>
      <c r="N222" s="246"/>
    </row>
    <row r="223" spans="1:14" x14ac:dyDescent="0.2">
      <c r="A223" s="399"/>
      <c r="B223" t="s">
        <v>185</v>
      </c>
      <c r="C223" s="246"/>
      <c r="D223" s="246"/>
      <c r="E223" s="246"/>
      <c r="F223" s="46">
        <f>+E20</f>
        <v>25</v>
      </c>
      <c r="G223" s="46">
        <f ca="1">+F225</f>
        <v>25</v>
      </c>
      <c r="H223" s="46">
        <f ca="1">+G225</f>
        <v>25</v>
      </c>
      <c r="I223" s="46">
        <f ca="1">+H225</f>
        <v>25</v>
      </c>
      <c r="J223" s="46">
        <f ca="1">+I225</f>
        <v>25</v>
      </c>
      <c r="K223" s="246"/>
      <c r="L223" s="246"/>
      <c r="M223" s="246"/>
      <c r="N223" s="246"/>
    </row>
    <row r="224" spans="1:14" x14ac:dyDescent="0.2">
      <c r="A224" s="399"/>
      <c r="B224" t="s">
        <v>186</v>
      </c>
      <c r="C224" s="246"/>
      <c r="D224" s="246"/>
      <c r="E224" s="246"/>
      <c r="F224" s="32">
        <f ca="1">+F220</f>
        <v>0</v>
      </c>
      <c r="G224" s="32">
        <f ca="1">+G220</f>
        <v>0</v>
      </c>
      <c r="H224" s="32">
        <f ca="1">+H220</f>
        <v>0</v>
      </c>
      <c r="I224" s="32">
        <f ca="1">+I220</f>
        <v>0</v>
      </c>
      <c r="J224" s="32">
        <f ca="1">+J220</f>
        <v>0</v>
      </c>
      <c r="K224" s="246"/>
      <c r="L224" s="246"/>
      <c r="M224" s="246"/>
      <c r="N224" s="246"/>
    </row>
    <row r="225" spans="1:14" x14ac:dyDescent="0.2">
      <c r="A225" s="399"/>
      <c r="B225" s="75" t="s">
        <v>187</v>
      </c>
      <c r="C225" s="391"/>
      <c r="D225" s="391"/>
      <c r="E225" s="391"/>
      <c r="F225" s="76">
        <f ca="1">SUM(F223:F224)</f>
        <v>25</v>
      </c>
      <c r="G225" s="76">
        <f ca="1">SUM(G223:G224)</f>
        <v>25</v>
      </c>
      <c r="H225" s="76">
        <f ca="1">SUM(H223:H224)</f>
        <v>25</v>
      </c>
      <c r="I225" s="76">
        <f ca="1">SUM(I223:I224)</f>
        <v>25</v>
      </c>
      <c r="J225" s="76">
        <f ca="1">SUM(J223:J224)</f>
        <v>25</v>
      </c>
      <c r="K225" s="246"/>
      <c r="L225" s="246"/>
      <c r="M225" s="246"/>
      <c r="N225" s="246"/>
    </row>
    <row r="226" spans="1:14" x14ac:dyDescent="0.2">
      <c r="A226" s="399"/>
      <c r="B226" s="122"/>
      <c r="C226" s="122"/>
      <c r="D226" s="122"/>
      <c r="E226" s="9"/>
      <c r="F226" s="9"/>
      <c r="G226" s="9"/>
      <c r="H226" s="9"/>
      <c r="I226" s="9"/>
      <c r="J226" s="9"/>
      <c r="K226" s="246"/>
      <c r="L226" s="246"/>
      <c r="M226" s="246"/>
      <c r="N226" s="246"/>
    </row>
    <row r="227" spans="1:14" x14ac:dyDescent="0.2">
      <c r="A227" s="399"/>
      <c r="B227" s="371" t="s">
        <v>188</v>
      </c>
      <c r="C227" s="392"/>
      <c r="D227" s="392"/>
      <c r="E227" s="392"/>
      <c r="F227" s="392"/>
      <c r="G227" s="392"/>
      <c r="H227" s="392"/>
      <c r="I227" s="392"/>
      <c r="J227" s="392"/>
      <c r="K227" s="246"/>
      <c r="L227" s="246"/>
      <c r="M227" s="246"/>
      <c r="N227" s="246"/>
    </row>
    <row r="228" spans="1:14" x14ac:dyDescent="0.2">
      <c r="A228" s="399"/>
      <c r="B228" s="246"/>
      <c r="C228" s="246"/>
      <c r="D228" s="246"/>
      <c r="E228" s="246"/>
      <c r="F228" s="246"/>
      <c r="G228" s="246"/>
      <c r="H228" s="246"/>
      <c r="I228" s="246"/>
      <c r="J228" s="246"/>
      <c r="K228" s="246"/>
      <c r="L228" s="246"/>
      <c r="M228" s="246"/>
      <c r="N228" s="246"/>
    </row>
    <row r="229" spans="1:14" x14ac:dyDescent="0.2">
      <c r="A229" s="399"/>
      <c r="B229" t="s">
        <v>122</v>
      </c>
      <c r="C229" s="68">
        <v>1</v>
      </c>
      <c r="D229" s="246"/>
      <c r="E229" s="246"/>
      <c r="F229" s="246"/>
      <c r="G229" s="246"/>
      <c r="H229" s="246"/>
      <c r="I229" s="246"/>
      <c r="J229" s="246"/>
      <c r="K229" s="246"/>
      <c r="L229" s="246"/>
      <c r="M229" s="246"/>
      <c r="N229" s="246"/>
    </row>
    <row r="230" spans="1:14" x14ac:dyDescent="0.2">
      <c r="A230" s="399"/>
      <c r="B230" t="s">
        <v>123</v>
      </c>
      <c r="C230" s="282" t="str">
        <f>+IF(C229=1,"Base",IF(C229=2,"Upside",IF(C229=3,"Downside","None")))</f>
        <v>Base</v>
      </c>
      <c r="D230" s="246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/>
    </row>
    <row r="231" spans="1:14" x14ac:dyDescent="0.2">
      <c r="A231" s="399"/>
      <c r="B231" s="246"/>
      <c r="C231" s="246"/>
      <c r="D231" s="246"/>
      <c r="E231" s="246"/>
      <c r="F231" s="246"/>
      <c r="G231" s="246"/>
      <c r="H231" s="246"/>
      <c r="I231" s="246"/>
      <c r="J231" s="246"/>
      <c r="K231" s="246"/>
      <c r="L231" s="246"/>
      <c r="M231" s="246"/>
      <c r="N231" s="246"/>
    </row>
    <row r="232" spans="1:14" x14ac:dyDescent="0.2">
      <c r="A232" s="399"/>
      <c r="B232" s="247" t="s">
        <v>189</v>
      </c>
      <c r="C232" s="374"/>
      <c r="D232" s="374"/>
      <c r="E232" s="249" t="s">
        <v>295</v>
      </c>
      <c r="F232" s="249">
        <f ca="1">+OFFSET(F232,$C$229,0)</f>
        <v>0.1</v>
      </c>
      <c r="G232" s="249">
        <f ca="1">+OFFSET(G232,$C$229,0)</f>
        <v>0.1</v>
      </c>
      <c r="H232" s="249">
        <f ca="1">+OFFSET(H232,$C$229,0)</f>
        <v>0.1</v>
      </c>
      <c r="I232" s="249">
        <f ca="1">+OFFSET(I232,$C$229,0)</f>
        <v>0.1</v>
      </c>
      <c r="J232" s="250">
        <f ca="1">+OFFSET(J232,$C$229,0)</f>
        <v>0.1</v>
      </c>
      <c r="K232" s="246"/>
      <c r="L232" s="246"/>
      <c r="M232" s="246"/>
      <c r="N232" s="246"/>
    </row>
    <row r="233" spans="1:14" x14ac:dyDescent="0.2">
      <c r="A233" s="399"/>
      <c r="B233" s="251" t="s">
        <v>132</v>
      </c>
      <c r="C233" s="377"/>
      <c r="D233" s="246"/>
      <c r="E233" s="81"/>
      <c r="F233" s="31">
        <v>0.1</v>
      </c>
      <c r="G233" s="31">
        <v>0.1</v>
      </c>
      <c r="H233" s="31">
        <v>0.1</v>
      </c>
      <c r="I233" s="31">
        <v>0.1</v>
      </c>
      <c r="J233" s="31">
        <v>0.1</v>
      </c>
      <c r="K233" s="246"/>
      <c r="L233" s="246"/>
      <c r="M233" s="246"/>
      <c r="N233" s="246"/>
    </row>
    <row r="234" spans="1:14" x14ac:dyDescent="0.2">
      <c r="A234" s="399"/>
      <c r="B234" s="251" t="s">
        <v>133</v>
      </c>
      <c r="C234" s="377"/>
      <c r="D234" s="246"/>
      <c r="E234" s="81"/>
      <c r="F234" s="31">
        <v>0.15</v>
      </c>
      <c r="G234" s="31">
        <v>0.15</v>
      </c>
      <c r="H234" s="31">
        <v>0.15</v>
      </c>
      <c r="I234" s="31">
        <v>0.15</v>
      </c>
      <c r="J234" s="31">
        <v>0.15</v>
      </c>
      <c r="K234" s="246"/>
      <c r="L234" s="246"/>
      <c r="M234" s="246"/>
      <c r="N234" s="246"/>
    </row>
    <row r="235" spans="1:14" x14ac:dyDescent="0.2">
      <c r="A235" s="399"/>
      <c r="B235" s="251" t="s">
        <v>134</v>
      </c>
      <c r="C235" s="377"/>
      <c r="D235" s="246"/>
      <c r="E235" s="81"/>
      <c r="F235" s="31">
        <v>2.5000000000000001E-2</v>
      </c>
      <c r="G235" s="31">
        <v>2.5000000000000001E-2</v>
      </c>
      <c r="H235" s="31">
        <v>2.5000000000000001E-2</v>
      </c>
      <c r="I235" s="31">
        <v>2.5000000000000001E-2</v>
      </c>
      <c r="J235" s="31">
        <v>2.5000000000000001E-2</v>
      </c>
      <c r="K235" s="246"/>
      <c r="L235" s="246"/>
      <c r="M235" s="246"/>
      <c r="N235" s="246"/>
    </row>
    <row r="236" spans="1:14" x14ac:dyDescent="0.2">
      <c r="A236" s="399"/>
      <c r="B236" s="246"/>
      <c r="C236" s="246"/>
      <c r="D236" s="246"/>
      <c r="E236" s="81"/>
      <c r="F236" s="378"/>
      <c r="G236" s="378"/>
      <c r="H236" s="378"/>
      <c r="I236" s="378"/>
      <c r="J236" s="378"/>
      <c r="K236" s="246"/>
      <c r="L236" s="246"/>
      <c r="M236" s="246"/>
      <c r="N236" s="246"/>
    </row>
    <row r="237" spans="1:14" x14ac:dyDescent="0.2">
      <c r="A237" s="399"/>
      <c r="B237" s="247" t="s">
        <v>117</v>
      </c>
      <c r="C237" s="374"/>
      <c r="D237" s="374"/>
      <c r="E237" s="252">
        <f>+E181/E174</f>
        <v>0.35</v>
      </c>
      <c r="F237" s="249">
        <f ca="1">+OFFSET(F237,$C$229,0)</f>
        <v>0.35</v>
      </c>
      <c r="G237" s="249">
        <f ca="1">+OFFSET(G237,$C$229,0)</f>
        <v>0.35</v>
      </c>
      <c r="H237" s="249">
        <f ca="1">+OFFSET(H237,$C$229,0)</f>
        <v>0.35</v>
      </c>
      <c r="I237" s="249">
        <f ca="1">+OFFSET(I237,$C$229,0)</f>
        <v>0.35</v>
      </c>
      <c r="J237" s="250">
        <f ca="1">+OFFSET(J237,$C$229,0)</f>
        <v>0.35</v>
      </c>
      <c r="K237" s="246"/>
      <c r="L237" s="246"/>
      <c r="M237" s="246"/>
      <c r="N237" s="246"/>
    </row>
    <row r="238" spans="1:14" x14ac:dyDescent="0.2">
      <c r="A238" s="399"/>
      <c r="B238" s="251" t="s">
        <v>132</v>
      </c>
      <c r="C238" s="377"/>
      <c r="D238" s="246"/>
      <c r="E238" s="81"/>
      <c r="F238" s="31">
        <v>0.35</v>
      </c>
      <c r="G238" s="31">
        <v>0.35</v>
      </c>
      <c r="H238" s="31">
        <v>0.35</v>
      </c>
      <c r="I238" s="31">
        <v>0.35</v>
      </c>
      <c r="J238" s="31">
        <v>0.35</v>
      </c>
      <c r="K238" s="246"/>
      <c r="L238" s="246"/>
      <c r="M238" s="246"/>
      <c r="N238" s="246"/>
    </row>
    <row r="239" spans="1:14" x14ac:dyDescent="0.2">
      <c r="A239" s="399"/>
      <c r="B239" s="251" t="s">
        <v>133</v>
      </c>
      <c r="C239" s="377"/>
      <c r="D239" s="246"/>
      <c r="E239" s="81"/>
      <c r="F239" s="31">
        <v>0.4</v>
      </c>
      <c r="G239" s="31">
        <v>0.4</v>
      </c>
      <c r="H239" s="31">
        <v>0.4</v>
      </c>
      <c r="I239" s="31">
        <v>0.4</v>
      </c>
      <c r="J239" s="31">
        <v>0.4</v>
      </c>
      <c r="K239" s="246"/>
      <c r="L239" s="246"/>
      <c r="M239" s="246"/>
      <c r="N239" s="246"/>
    </row>
    <row r="240" spans="1:14" x14ac:dyDescent="0.2">
      <c r="A240" s="399"/>
      <c r="B240" s="251" t="s">
        <v>134</v>
      </c>
      <c r="C240" s="377"/>
      <c r="D240" s="246"/>
      <c r="E240" s="81"/>
      <c r="F240" s="31">
        <v>0.3</v>
      </c>
      <c r="G240" s="31">
        <v>0.3</v>
      </c>
      <c r="H240" s="31">
        <v>0.3</v>
      </c>
      <c r="I240" s="31">
        <v>0.3</v>
      </c>
      <c r="J240" s="31">
        <v>0.3</v>
      </c>
      <c r="K240" s="246"/>
      <c r="L240" s="246"/>
      <c r="M240" s="246"/>
      <c r="N240" s="246"/>
    </row>
    <row r="241" spans="1:14" x14ac:dyDescent="0.2">
      <c r="A241" s="399"/>
      <c r="B241" s="246"/>
      <c r="C241" s="246"/>
      <c r="D241" s="246"/>
      <c r="E241" s="81"/>
      <c r="F241" s="378"/>
      <c r="G241" s="378"/>
      <c r="H241" s="378"/>
      <c r="I241" s="378"/>
      <c r="J241" s="378"/>
      <c r="K241" s="246"/>
      <c r="L241" s="246"/>
      <c r="M241" s="246"/>
      <c r="N241" s="246"/>
    </row>
    <row r="242" spans="1:14" x14ac:dyDescent="0.2">
      <c r="A242" s="399"/>
      <c r="B242" s="247" t="s">
        <v>136</v>
      </c>
      <c r="C242" s="374"/>
      <c r="D242" s="374"/>
      <c r="E242" s="252">
        <f>-E184/E174</f>
        <v>0.1</v>
      </c>
      <c r="F242" s="249">
        <f ca="1">+OFFSET(F242,$C$229,0)</f>
        <v>0.1</v>
      </c>
      <c r="G242" s="249">
        <f ca="1">+OFFSET(G242,$C$229,0)</f>
        <v>0.1</v>
      </c>
      <c r="H242" s="249">
        <f ca="1">+OFFSET(H242,$C$229,0)</f>
        <v>0.1</v>
      </c>
      <c r="I242" s="249">
        <f ca="1">+OFFSET(I242,$C$229,0)</f>
        <v>0.1</v>
      </c>
      <c r="J242" s="250">
        <f ca="1">+OFFSET(J242,$C$229,0)</f>
        <v>0.1</v>
      </c>
      <c r="K242" s="246"/>
      <c r="L242" s="246"/>
      <c r="M242" s="246"/>
      <c r="N242" s="246"/>
    </row>
    <row r="243" spans="1:14" x14ac:dyDescent="0.2">
      <c r="A243" s="399"/>
      <c r="B243" s="251" t="s">
        <v>132</v>
      </c>
      <c r="C243" s="377"/>
      <c r="D243" s="246"/>
      <c r="E243" s="81"/>
      <c r="F243" s="31">
        <v>0.1</v>
      </c>
      <c r="G243" s="31">
        <v>0.1</v>
      </c>
      <c r="H243" s="31">
        <v>0.1</v>
      </c>
      <c r="I243" s="31">
        <v>0.1</v>
      </c>
      <c r="J243" s="31">
        <v>0.1</v>
      </c>
      <c r="K243" s="246"/>
      <c r="L243" s="246"/>
      <c r="M243" s="246"/>
      <c r="N243" s="246"/>
    </row>
    <row r="244" spans="1:14" x14ac:dyDescent="0.2">
      <c r="A244" s="399"/>
      <c r="B244" s="251" t="s">
        <v>133</v>
      </c>
      <c r="C244" s="377"/>
      <c r="D244" s="246"/>
      <c r="E244" s="81"/>
      <c r="F244" s="31">
        <v>7.4999999999999997E-2</v>
      </c>
      <c r="G244" s="31">
        <v>7.4999999999999997E-2</v>
      </c>
      <c r="H244" s="31">
        <v>7.4999999999999997E-2</v>
      </c>
      <c r="I244" s="31">
        <v>7.4999999999999997E-2</v>
      </c>
      <c r="J244" s="31">
        <v>7.4999999999999997E-2</v>
      </c>
      <c r="K244" s="246"/>
      <c r="L244" s="246"/>
      <c r="M244" s="246"/>
      <c r="N244" s="246"/>
    </row>
    <row r="245" spans="1:14" x14ac:dyDescent="0.2">
      <c r="A245" s="399"/>
      <c r="B245" s="251" t="s">
        <v>134</v>
      </c>
      <c r="C245" s="377"/>
      <c r="D245" s="246"/>
      <c r="E245" s="81"/>
      <c r="F245" s="31">
        <v>0.125</v>
      </c>
      <c r="G245" s="31">
        <v>0.125</v>
      </c>
      <c r="H245" s="31">
        <v>0.125</v>
      </c>
      <c r="I245" s="31">
        <v>0.125</v>
      </c>
      <c r="J245" s="31">
        <v>0.125</v>
      </c>
      <c r="K245" s="246"/>
      <c r="L245" s="246"/>
      <c r="M245" s="246"/>
      <c r="N245" s="246"/>
    </row>
    <row r="246" spans="1:14" x14ac:dyDescent="0.2">
      <c r="A246" s="399"/>
      <c r="B246" s="377"/>
      <c r="C246" s="377"/>
      <c r="D246" s="246"/>
      <c r="E246" s="81"/>
      <c r="F246" s="378"/>
      <c r="G246" s="378"/>
      <c r="H246" s="378"/>
      <c r="I246" s="378"/>
      <c r="J246" s="378"/>
      <c r="K246" s="246"/>
      <c r="L246" s="246"/>
      <c r="M246" s="246"/>
      <c r="N246" s="246"/>
    </row>
    <row r="247" spans="1:14" x14ac:dyDescent="0.2">
      <c r="A247" s="399"/>
      <c r="B247" s="247" t="s">
        <v>137</v>
      </c>
      <c r="C247" s="374"/>
      <c r="D247" s="374"/>
      <c r="E247" s="252">
        <f>-E186/E174</f>
        <v>0.02</v>
      </c>
      <c r="F247" s="249">
        <f ca="1">+OFFSET(F247,$C$229,0)</f>
        <v>0.02</v>
      </c>
      <c r="G247" s="249">
        <f ca="1">+OFFSET(G247,$C$229,0)</f>
        <v>0.02</v>
      </c>
      <c r="H247" s="249">
        <f ca="1">+OFFSET(H247,$C$229,0)</f>
        <v>0.02</v>
      </c>
      <c r="I247" s="249">
        <f ca="1">+OFFSET(I247,$C$229,0)</f>
        <v>0.02</v>
      </c>
      <c r="J247" s="250">
        <f ca="1">+OFFSET(J247,$C$229,0)</f>
        <v>0.02</v>
      </c>
      <c r="K247" s="246"/>
      <c r="L247" s="246"/>
      <c r="M247" s="246"/>
      <c r="N247" s="246"/>
    </row>
    <row r="248" spans="1:14" x14ac:dyDescent="0.2">
      <c r="A248" s="399"/>
      <c r="B248" s="251" t="s">
        <v>132</v>
      </c>
      <c r="C248" s="377"/>
      <c r="D248" s="246"/>
      <c r="E248" s="81"/>
      <c r="F248" s="31">
        <v>0.02</v>
      </c>
      <c r="G248" s="31">
        <v>0.02</v>
      </c>
      <c r="H248" s="31">
        <v>0.02</v>
      </c>
      <c r="I248" s="31">
        <v>0.02</v>
      </c>
      <c r="J248" s="31">
        <v>0.02</v>
      </c>
      <c r="K248" s="246"/>
      <c r="L248" s="246"/>
      <c r="M248" s="246"/>
      <c r="N248" s="246"/>
    </row>
    <row r="249" spans="1:14" x14ac:dyDescent="0.2">
      <c r="A249" s="399"/>
      <c r="B249" s="251" t="s">
        <v>133</v>
      </c>
      <c r="C249" s="377"/>
      <c r="D249" s="246"/>
      <c r="E249" s="81"/>
      <c r="F249" s="31">
        <v>1.4999999999999999E-2</v>
      </c>
      <c r="G249" s="31">
        <v>1.4999999999999999E-2</v>
      </c>
      <c r="H249" s="31">
        <v>1.4999999999999999E-2</v>
      </c>
      <c r="I249" s="31">
        <v>1.4999999999999999E-2</v>
      </c>
      <c r="J249" s="31">
        <v>1.4999999999999999E-2</v>
      </c>
      <c r="K249" s="246"/>
      <c r="L249" s="246"/>
      <c r="M249" s="246"/>
      <c r="N249" s="246"/>
    </row>
    <row r="250" spans="1:14" x14ac:dyDescent="0.2">
      <c r="A250" s="399"/>
      <c r="B250" s="251" t="s">
        <v>134</v>
      </c>
      <c r="C250" s="377"/>
      <c r="D250" s="246"/>
      <c r="E250" s="81"/>
      <c r="F250" s="31">
        <v>2.5000000000000001E-2</v>
      </c>
      <c r="G250" s="31">
        <v>2.5000000000000001E-2</v>
      </c>
      <c r="H250" s="31">
        <v>2.5000000000000001E-2</v>
      </c>
      <c r="I250" s="31">
        <v>2.5000000000000001E-2</v>
      </c>
      <c r="J250" s="31">
        <v>2.5000000000000001E-2</v>
      </c>
      <c r="K250" s="246"/>
      <c r="L250" s="246"/>
      <c r="M250" s="246"/>
      <c r="N250" s="246"/>
    </row>
    <row r="251" spans="1:14" x14ac:dyDescent="0.2">
      <c r="A251" s="399"/>
      <c r="B251" s="377"/>
      <c r="C251" s="377"/>
      <c r="D251" s="246"/>
      <c r="E251" s="81"/>
      <c r="F251" s="378"/>
      <c r="G251" s="378"/>
      <c r="H251" s="378"/>
      <c r="I251" s="378"/>
      <c r="J251" s="378"/>
      <c r="K251" s="246"/>
      <c r="L251" s="246"/>
      <c r="M251" s="246"/>
      <c r="N251" s="246"/>
    </row>
    <row r="252" spans="1:14" x14ac:dyDescent="0.2">
      <c r="A252" s="399"/>
      <c r="B252" s="247" t="s">
        <v>190</v>
      </c>
      <c r="C252" s="374"/>
      <c r="D252" s="374"/>
      <c r="E252" s="252">
        <f>-E193/E174</f>
        <v>0.02</v>
      </c>
      <c r="F252" s="249">
        <f ca="1">+OFFSET(F252,$C$229,0)</f>
        <v>0.02</v>
      </c>
      <c r="G252" s="249">
        <f ca="1">+OFFSET(G252,$C$229,0)</f>
        <v>0.02</v>
      </c>
      <c r="H252" s="249">
        <f ca="1">+OFFSET(H252,$C$229,0)</f>
        <v>0.02</v>
      </c>
      <c r="I252" s="249">
        <f ca="1">+OFFSET(I252,$C$229,0)</f>
        <v>0.02</v>
      </c>
      <c r="J252" s="250">
        <f ca="1">+OFFSET(J252,$C$229,0)</f>
        <v>0.02</v>
      </c>
      <c r="K252" s="246"/>
      <c r="L252" s="246"/>
      <c r="M252" s="246"/>
      <c r="N252" s="246"/>
    </row>
    <row r="253" spans="1:14" x14ac:dyDescent="0.2">
      <c r="A253" s="399"/>
      <c r="B253" s="251" t="s">
        <v>132</v>
      </c>
      <c r="C253" s="377"/>
      <c r="D253" s="246"/>
      <c r="E253" s="81"/>
      <c r="F253" s="31">
        <v>0.02</v>
      </c>
      <c r="G253" s="31">
        <v>0.02</v>
      </c>
      <c r="H253" s="31">
        <v>0.02</v>
      </c>
      <c r="I253" s="31">
        <v>0.02</v>
      </c>
      <c r="J253" s="31">
        <v>0.02</v>
      </c>
      <c r="K253" s="246"/>
      <c r="L253" s="246"/>
      <c r="M253" s="246"/>
      <c r="N253" s="246"/>
    </row>
    <row r="254" spans="1:14" x14ac:dyDescent="0.2">
      <c r="A254" s="399"/>
      <c r="B254" s="251" t="s">
        <v>133</v>
      </c>
      <c r="C254" s="377"/>
      <c r="D254" s="246"/>
      <c r="E254" s="81"/>
      <c r="F254" s="31">
        <v>2.5000000000000001E-2</v>
      </c>
      <c r="G254" s="31">
        <v>2.5000000000000001E-2</v>
      </c>
      <c r="H254" s="31">
        <v>2.5000000000000001E-2</v>
      </c>
      <c r="I254" s="31">
        <v>2.5000000000000001E-2</v>
      </c>
      <c r="J254" s="31">
        <v>2.5000000000000001E-2</v>
      </c>
      <c r="K254" s="246"/>
      <c r="L254" s="246"/>
      <c r="M254" s="246"/>
      <c r="N254" s="246"/>
    </row>
    <row r="255" spans="1:14" x14ac:dyDescent="0.2">
      <c r="A255" s="399"/>
      <c r="B255" s="251" t="s">
        <v>134</v>
      </c>
      <c r="C255" s="377"/>
      <c r="D255" s="246"/>
      <c r="E255" s="81"/>
      <c r="F255" s="31">
        <v>1.4999999999999999E-2</v>
      </c>
      <c r="G255" s="31">
        <v>1.4999999999999999E-2</v>
      </c>
      <c r="H255" s="31">
        <v>1.4999999999999999E-2</v>
      </c>
      <c r="I255" s="31">
        <v>1.4999999999999999E-2</v>
      </c>
      <c r="J255" s="31">
        <v>1.4999999999999999E-2</v>
      </c>
      <c r="K255" s="246"/>
      <c r="L255" s="246"/>
      <c r="M255" s="246"/>
      <c r="N255" s="246"/>
    </row>
    <row r="256" spans="1:14" x14ac:dyDescent="0.2">
      <c r="A256" s="399"/>
      <c r="B256" s="377"/>
      <c r="C256" s="377"/>
      <c r="D256" s="246"/>
      <c r="E256" s="81"/>
      <c r="F256" s="378"/>
      <c r="G256" s="378"/>
      <c r="H256" s="378"/>
      <c r="I256" s="378"/>
      <c r="J256" s="378"/>
      <c r="K256" s="246"/>
      <c r="L256" s="246"/>
      <c r="M256" s="246"/>
      <c r="N256" s="246"/>
    </row>
    <row r="257" spans="1:14" x14ac:dyDescent="0.2">
      <c r="A257" s="399"/>
      <c r="B257" s="247" t="s">
        <v>191</v>
      </c>
      <c r="C257" s="374"/>
      <c r="D257" s="374"/>
      <c r="E257" s="253" t="s">
        <v>295</v>
      </c>
      <c r="F257" s="249">
        <f ca="1">+OFFSET(F257,$C$229,0)</f>
        <v>1.4999999999999999E-2</v>
      </c>
      <c r="G257" s="249">
        <f ca="1">+OFFSET(G257,$C$229,0)</f>
        <v>1.4999999999999999E-2</v>
      </c>
      <c r="H257" s="249">
        <f ca="1">+OFFSET(H257,$C$229,0)</f>
        <v>1.4999999999999999E-2</v>
      </c>
      <c r="I257" s="249">
        <f ca="1">+OFFSET(I257,$C$229,0)</f>
        <v>1.4999999999999999E-2</v>
      </c>
      <c r="J257" s="250">
        <f ca="1">+OFFSET(J257,$C$229,0)</f>
        <v>1.4999999999999999E-2</v>
      </c>
      <c r="K257" s="246"/>
      <c r="L257" s="246"/>
      <c r="M257" s="246"/>
      <c r="N257" s="246"/>
    </row>
    <row r="258" spans="1:14" x14ac:dyDescent="0.2">
      <c r="A258" s="399"/>
      <c r="B258" s="251" t="s">
        <v>132</v>
      </c>
      <c r="C258" s="377"/>
      <c r="D258" s="246"/>
      <c r="E258" s="246"/>
      <c r="F258" s="31">
        <v>1.4999999999999999E-2</v>
      </c>
      <c r="G258" s="31">
        <v>1.4999999999999999E-2</v>
      </c>
      <c r="H258" s="31">
        <v>1.4999999999999999E-2</v>
      </c>
      <c r="I258" s="31">
        <v>1.4999999999999999E-2</v>
      </c>
      <c r="J258" s="31">
        <v>1.4999999999999999E-2</v>
      </c>
      <c r="K258" s="246"/>
      <c r="L258" s="246"/>
      <c r="M258" s="246"/>
      <c r="N258" s="246"/>
    </row>
    <row r="259" spans="1:14" x14ac:dyDescent="0.2">
      <c r="A259" s="399"/>
      <c r="B259" s="251" t="s">
        <v>133</v>
      </c>
      <c r="C259" s="377"/>
      <c r="D259" s="246"/>
      <c r="E259" s="246"/>
      <c r="F259" s="31">
        <v>0.01</v>
      </c>
      <c r="G259" s="31">
        <v>0.01</v>
      </c>
      <c r="H259" s="31">
        <v>0.01</v>
      </c>
      <c r="I259" s="31">
        <v>0.01</v>
      </c>
      <c r="J259" s="31">
        <v>0.01</v>
      </c>
      <c r="K259" s="246"/>
      <c r="L259" s="246"/>
      <c r="M259" s="246"/>
      <c r="N259" s="246"/>
    </row>
    <row r="260" spans="1:14" x14ac:dyDescent="0.2">
      <c r="A260" s="399"/>
      <c r="B260" s="251" t="s">
        <v>134</v>
      </c>
      <c r="C260" s="377"/>
      <c r="D260" s="246"/>
      <c r="E260" s="246"/>
      <c r="F260" s="31">
        <v>0.02</v>
      </c>
      <c r="G260" s="31">
        <v>0.02</v>
      </c>
      <c r="H260" s="31">
        <v>0.02</v>
      </c>
      <c r="I260" s="31">
        <v>0.02</v>
      </c>
      <c r="J260" s="31">
        <v>0.02</v>
      </c>
      <c r="K260" s="246"/>
      <c r="L260" s="246"/>
      <c r="M260" s="246"/>
      <c r="N260" s="246"/>
    </row>
    <row r="261" spans="1:14" x14ac:dyDescent="0.2">
      <c r="A261" s="399"/>
      <c r="B261" s="377"/>
      <c r="C261" s="377"/>
      <c r="D261" s="246"/>
      <c r="E261" s="246"/>
      <c r="F261" s="378"/>
      <c r="G261" s="378"/>
      <c r="H261" s="378"/>
      <c r="I261" s="378"/>
      <c r="J261" s="378"/>
      <c r="K261" s="246"/>
      <c r="L261" s="246"/>
      <c r="M261" s="246"/>
      <c r="N261" s="246"/>
    </row>
    <row r="262" spans="1:14" x14ac:dyDescent="0.2">
      <c r="A262" s="399"/>
      <c r="B262" s="247" t="s">
        <v>192</v>
      </c>
      <c r="C262" s="374"/>
      <c r="D262" s="374"/>
      <c r="E262" s="253" t="s">
        <v>295</v>
      </c>
      <c r="F262" s="249">
        <f ca="1">+OFFSET(F262,$C$229,0)</f>
        <v>1.4999999999999999E-2</v>
      </c>
      <c r="G262" s="249">
        <f ca="1">+OFFSET(G262,$C$229,0)</f>
        <v>1.4999999999999999E-2</v>
      </c>
      <c r="H262" s="249">
        <f ca="1">+OFFSET(H262,$C$229,0)</f>
        <v>1.4999999999999999E-2</v>
      </c>
      <c r="I262" s="249">
        <f ca="1">+OFFSET(I262,$C$229,0)</f>
        <v>1.4999999999999999E-2</v>
      </c>
      <c r="J262" s="250">
        <f ca="1">+OFFSET(J262,$C$229,0)</f>
        <v>1.4999999999999999E-2</v>
      </c>
      <c r="K262" s="246"/>
      <c r="L262" s="246"/>
      <c r="M262" s="246"/>
      <c r="N262" s="246"/>
    </row>
    <row r="263" spans="1:14" x14ac:dyDescent="0.2">
      <c r="A263" s="399"/>
      <c r="B263" s="251" t="s">
        <v>132</v>
      </c>
      <c r="C263" s="377"/>
      <c r="D263" s="246"/>
      <c r="E263" s="246"/>
      <c r="F263" s="31">
        <v>1.4999999999999999E-2</v>
      </c>
      <c r="G263" s="31">
        <v>1.4999999999999999E-2</v>
      </c>
      <c r="H263" s="31">
        <v>1.4999999999999999E-2</v>
      </c>
      <c r="I263" s="31">
        <v>1.4999999999999999E-2</v>
      </c>
      <c r="J263" s="31">
        <v>1.4999999999999999E-2</v>
      </c>
      <c r="K263" s="246"/>
      <c r="L263" s="246"/>
      <c r="M263" s="246"/>
      <c r="N263" s="246"/>
    </row>
    <row r="264" spans="1:14" x14ac:dyDescent="0.2">
      <c r="A264" s="399"/>
      <c r="B264" s="251" t="s">
        <v>133</v>
      </c>
      <c r="C264" s="377"/>
      <c r="D264" s="246"/>
      <c r="E264" s="246"/>
      <c r="F264" s="31">
        <v>0.01</v>
      </c>
      <c r="G264" s="31">
        <v>0.01</v>
      </c>
      <c r="H264" s="31">
        <v>0.01</v>
      </c>
      <c r="I264" s="31">
        <v>0.01</v>
      </c>
      <c r="J264" s="31">
        <v>0.01</v>
      </c>
      <c r="K264" s="246"/>
      <c r="L264" s="246"/>
      <c r="M264" s="246"/>
      <c r="N264" s="246"/>
    </row>
    <row r="265" spans="1:14" x14ac:dyDescent="0.2">
      <c r="A265" s="399"/>
      <c r="B265" s="251" t="s">
        <v>134</v>
      </c>
      <c r="C265" s="377"/>
      <c r="D265" s="246"/>
      <c r="E265" s="246"/>
      <c r="F265" s="31">
        <v>0.02</v>
      </c>
      <c r="G265" s="31">
        <v>0.02</v>
      </c>
      <c r="H265" s="31">
        <v>0.02</v>
      </c>
      <c r="I265" s="31">
        <v>0.02</v>
      </c>
      <c r="J265" s="31">
        <v>0.02</v>
      </c>
      <c r="K265" s="246"/>
      <c r="L265" s="246"/>
      <c r="M265" s="246"/>
      <c r="N265" s="246"/>
    </row>
    <row r="266" spans="1:14" x14ac:dyDescent="0.2">
      <c r="A266" s="399"/>
      <c r="B266" s="377"/>
      <c r="C266" s="377"/>
      <c r="D266" s="246"/>
      <c r="E266" s="246"/>
      <c r="F266" s="378"/>
      <c r="G266" s="378"/>
      <c r="H266" s="378"/>
      <c r="I266" s="378"/>
      <c r="J266" s="378"/>
      <c r="K266" s="246"/>
      <c r="L266" s="246"/>
      <c r="M266" s="246"/>
      <c r="N266" s="246"/>
    </row>
    <row r="267" spans="1:14" x14ac:dyDescent="0.2">
      <c r="A267" s="318" t="s">
        <v>310</v>
      </c>
      <c r="B267" s="416" t="s">
        <v>193</v>
      </c>
      <c r="C267" s="409"/>
      <c r="D267" s="409"/>
      <c r="E267" s="418"/>
      <c r="F267" s="418"/>
      <c r="G267" s="418"/>
      <c r="H267" s="418"/>
      <c r="I267" s="418"/>
      <c r="J267" s="418"/>
      <c r="K267" s="246"/>
      <c r="L267" s="246"/>
      <c r="M267" s="246"/>
      <c r="N267" s="246"/>
    </row>
    <row r="268" spans="1:14" x14ac:dyDescent="0.2">
      <c r="A268" s="399"/>
      <c r="B268" s="246"/>
      <c r="C268" s="377"/>
      <c r="D268" s="246"/>
      <c r="E268" s="81"/>
      <c r="F268" s="81"/>
      <c r="G268" s="81"/>
      <c r="H268" s="81"/>
      <c r="I268" s="81"/>
      <c r="J268" s="81"/>
      <c r="K268" s="246"/>
      <c r="L268" s="246"/>
      <c r="M268" s="246"/>
      <c r="N268" s="246"/>
    </row>
    <row r="269" spans="1:14" x14ac:dyDescent="0.2">
      <c r="A269" s="399"/>
      <c r="B269" s="3" t="s">
        <v>194</v>
      </c>
      <c r="C269" s="403"/>
      <c r="D269" s="375"/>
      <c r="E269" s="395"/>
      <c r="F269" s="65">
        <v>2021</v>
      </c>
      <c r="G269" s="65">
        <f>+F269+1</f>
        <v>2022</v>
      </c>
      <c r="H269" s="65">
        <f>+G269+1</f>
        <v>2023</v>
      </c>
      <c r="I269" s="65">
        <f>+H269+1</f>
        <v>2024</v>
      </c>
      <c r="J269" s="65">
        <f>+I269+1</f>
        <v>2025</v>
      </c>
      <c r="K269" s="246"/>
      <c r="L269" s="246"/>
      <c r="M269" s="246"/>
      <c r="N269" s="246"/>
    </row>
    <row r="270" spans="1:14" x14ac:dyDescent="0.2">
      <c r="A270" s="399"/>
      <c r="B270" s="246"/>
      <c r="C270" s="377"/>
      <c r="D270" s="246"/>
      <c r="E270" s="81"/>
      <c r="F270" s="246"/>
      <c r="G270" s="81"/>
      <c r="H270" s="81"/>
      <c r="I270" s="81"/>
      <c r="J270" s="81"/>
      <c r="K270" s="246"/>
      <c r="L270" s="246"/>
      <c r="M270" s="246"/>
      <c r="N270" s="246"/>
    </row>
    <row r="271" spans="1:14" x14ac:dyDescent="0.2">
      <c r="A271" s="399"/>
      <c r="B271" s="12" t="s">
        <v>195</v>
      </c>
      <c r="C271" s="404"/>
      <c r="D271" s="13" t="s">
        <v>56</v>
      </c>
      <c r="E271" s="246"/>
      <c r="F271" s="82" t="s">
        <v>196</v>
      </c>
      <c r="G271" s="83"/>
      <c r="H271" s="83"/>
      <c r="I271" s="83"/>
      <c r="J271" s="83"/>
      <c r="K271" s="246"/>
      <c r="L271" s="246"/>
      <c r="M271" s="246"/>
      <c r="N271" s="246"/>
    </row>
    <row r="272" spans="1:14" x14ac:dyDescent="0.2">
      <c r="A272" s="399"/>
      <c r="B272" s="305" t="s">
        <v>197</v>
      </c>
      <c r="C272" s="122"/>
      <c r="D272" s="84">
        <v>2</v>
      </c>
      <c r="E272" s="306" t="s">
        <v>198</v>
      </c>
      <c r="F272" s="85">
        <v>350</v>
      </c>
      <c r="G272" s="213">
        <f>+F272*(1+15%)</f>
        <v>402.49999999999994</v>
      </c>
      <c r="H272" s="213">
        <f t="shared" ref="H272:J272" si="23">+G272*(1+15%)</f>
        <v>462.87499999999989</v>
      </c>
      <c r="I272" s="213">
        <f t="shared" si="23"/>
        <v>532.30624999999986</v>
      </c>
      <c r="J272" s="213">
        <f t="shared" si="23"/>
        <v>612.15218749999974</v>
      </c>
      <c r="K272" s="246"/>
      <c r="L272" s="246"/>
      <c r="M272" s="246"/>
      <c r="N272" s="246"/>
    </row>
    <row r="273" spans="1:14" x14ac:dyDescent="0.2">
      <c r="A273" s="399"/>
      <c r="B273" s="305" t="s">
        <v>199</v>
      </c>
      <c r="C273" s="122"/>
      <c r="D273" s="84">
        <v>3</v>
      </c>
      <c r="E273" s="306" t="s">
        <v>200</v>
      </c>
      <c r="F273" s="213">
        <f>+F272*(1+10%)</f>
        <v>385.00000000000006</v>
      </c>
      <c r="G273" s="213">
        <f t="shared" ref="G273:J274" si="24">+F273*(1+15%)</f>
        <v>442.75000000000006</v>
      </c>
      <c r="H273" s="213">
        <f t="shared" si="24"/>
        <v>509.16250000000002</v>
      </c>
      <c r="I273" s="213">
        <f t="shared" si="24"/>
        <v>585.53687500000001</v>
      </c>
      <c r="J273" s="213">
        <f t="shared" si="24"/>
        <v>673.36740624999993</v>
      </c>
      <c r="K273" s="246"/>
      <c r="L273" s="246"/>
      <c r="M273" s="246"/>
      <c r="N273" s="246"/>
    </row>
    <row r="274" spans="1:14" x14ac:dyDescent="0.2">
      <c r="A274" s="399"/>
      <c r="B274" s="307" t="s">
        <v>201</v>
      </c>
      <c r="C274" s="404"/>
      <c r="D274" s="86">
        <v>5</v>
      </c>
      <c r="E274" s="306" t="s">
        <v>202</v>
      </c>
      <c r="F274" s="213">
        <f>+F273*(1+10%)</f>
        <v>423.50000000000011</v>
      </c>
      <c r="G274" s="213">
        <f t="shared" si="24"/>
        <v>487.02500000000009</v>
      </c>
      <c r="H274" s="213">
        <f t="shared" si="24"/>
        <v>560.07875000000001</v>
      </c>
      <c r="I274" s="213">
        <f t="shared" si="24"/>
        <v>644.09056249999992</v>
      </c>
      <c r="J274" s="213">
        <f t="shared" si="24"/>
        <v>740.70414687499988</v>
      </c>
      <c r="K274" s="246"/>
      <c r="L274" s="246"/>
      <c r="M274" s="246"/>
      <c r="N274" s="246"/>
    </row>
    <row r="275" spans="1:14" x14ac:dyDescent="0.2">
      <c r="A275" s="399"/>
      <c r="B275" s="87" t="s">
        <v>203</v>
      </c>
      <c r="C275" s="122"/>
      <c r="D275" s="214">
        <v>10</v>
      </c>
      <c r="E275" s="246"/>
      <c r="F275" s="81"/>
      <c r="G275" s="81"/>
      <c r="H275" s="81"/>
      <c r="I275" s="81"/>
      <c r="J275" s="246"/>
      <c r="K275" s="246"/>
      <c r="L275" s="246"/>
      <c r="M275" s="246"/>
      <c r="N275" s="246"/>
    </row>
    <row r="276" spans="1:14" x14ac:dyDescent="0.2">
      <c r="A276" s="399"/>
      <c r="B276" s="246"/>
      <c r="C276" s="246"/>
      <c r="D276" s="399"/>
      <c r="E276" s="246"/>
      <c r="F276" s="81"/>
      <c r="G276" s="81"/>
      <c r="H276" s="81"/>
      <c r="I276" s="81"/>
      <c r="J276" s="246"/>
      <c r="K276" s="246"/>
      <c r="L276" s="246"/>
      <c r="M276" s="246"/>
      <c r="N276" s="246"/>
    </row>
    <row r="277" spans="1:14" x14ac:dyDescent="0.2">
      <c r="A277" s="399"/>
      <c r="B277" t="s">
        <v>204</v>
      </c>
      <c r="C277" s="246"/>
      <c r="D277" s="246"/>
      <c r="E277" s="246"/>
      <c r="F277" s="266">
        <f ca="1">+F188</f>
        <v>422.53125000000006</v>
      </c>
      <c r="G277" s="266">
        <f ca="1">+G188</f>
        <v>482.69999999999982</v>
      </c>
      <c r="H277" s="266">
        <f ca="1">+H188</f>
        <v>551.22625000000039</v>
      </c>
      <c r="I277" s="266">
        <f ca="1">+I188</f>
        <v>628.86450000000002</v>
      </c>
      <c r="J277" s="266">
        <f ca="1">+J188</f>
        <v>716.40720000000033</v>
      </c>
      <c r="K277" s="246"/>
      <c r="L277" s="246"/>
      <c r="M277" s="246"/>
      <c r="N277" s="246"/>
    </row>
    <row r="278" spans="1:14" x14ac:dyDescent="0.2">
      <c r="A278" s="399"/>
      <c r="B278" s="251" t="s">
        <v>114</v>
      </c>
      <c r="C278" s="246"/>
      <c r="D278" s="246"/>
      <c r="E278" s="246"/>
      <c r="F278" s="286" t="str">
        <f ca="1">+IFERROR(F277/E277-1,"N/A")</f>
        <v>N/A</v>
      </c>
      <c r="G278" s="286">
        <f t="shared" ref="G278:J278" ca="1" si="25">+IFERROR(G277/F277-1,"N/A")</f>
        <v>0.14240071000665577</v>
      </c>
      <c r="H278" s="286">
        <f t="shared" ca="1" si="25"/>
        <v>0.14196447068572726</v>
      </c>
      <c r="I278" s="286">
        <f t="shared" ca="1" si="25"/>
        <v>0.14084643102537231</v>
      </c>
      <c r="J278" s="286">
        <f t="shared" ca="1" si="25"/>
        <v>0.13920757174240284</v>
      </c>
      <c r="K278" s="246"/>
      <c r="L278" s="246"/>
      <c r="M278" s="246"/>
      <c r="N278" s="246"/>
    </row>
    <row r="279" spans="1:14" x14ac:dyDescent="0.2">
      <c r="A279" s="399"/>
      <c r="B279" s="246"/>
      <c r="C279" s="246"/>
      <c r="D279" s="246"/>
      <c r="E279" s="246"/>
      <c r="F279" s="246"/>
      <c r="G279" s="246"/>
      <c r="H279" s="246"/>
      <c r="I279" s="246"/>
      <c r="J279" s="246"/>
      <c r="K279" s="246"/>
      <c r="L279" s="246"/>
      <c r="M279" s="246"/>
      <c r="N279" s="246"/>
    </row>
    <row r="280" spans="1:14" x14ac:dyDescent="0.2">
      <c r="A280" s="399"/>
      <c r="B280" s="72" t="s">
        <v>205</v>
      </c>
      <c r="C280" s="246"/>
      <c r="D280" s="246"/>
      <c r="E280" s="246"/>
      <c r="F280" s="317"/>
      <c r="G280" s="246"/>
      <c r="H280" s="246"/>
      <c r="I280" s="246"/>
      <c r="J280" s="246"/>
      <c r="K280" s="246"/>
      <c r="L280" s="246"/>
      <c r="M280" s="246"/>
      <c r="N280" s="246"/>
    </row>
    <row r="281" spans="1:14" x14ac:dyDescent="0.2">
      <c r="A281" s="399"/>
      <c r="B281" s="305" t="str">
        <f>+B272</f>
        <v>Minimum EBITDA</v>
      </c>
      <c r="C281" s="246"/>
      <c r="D281" s="246"/>
      <c r="E281" s="246"/>
      <c r="F281" s="315">
        <f ca="1">+IF(F$277&gt;=F272,$D272,0)</f>
        <v>2</v>
      </c>
      <c r="G281" s="315">
        <f t="shared" ref="G281:J282" ca="1" si="26">+IF(G$277&gt;=G272,$D272,0)</f>
        <v>2</v>
      </c>
      <c r="H281" s="315">
        <f t="shared" ca="1" si="26"/>
        <v>2</v>
      </c>
      <c r="I281" s="315">
        <f t="shared" ca="1" si="26"/>
        <v>2</v>
      </c>
      <c r="J281" s="315">
        <f t="shared" ca="1" si="26"/>
        <v>2</v>
      </c>
      <c r="K281" s="246"/>
      <c r="L281" s="246"/>
      <c r="M281" s="246"/>
      <c r="N281" s="246"/>
    </row>
    <row r="282" spans="1:14" x14ac:dyDescent="0.2">
      <c r="A282" s="399"/>
      <c r="B282" s="305" t="str">
        <f>+B273</f>
        <v>Midpoint EBITDA</v>
      </c>
      <c r="C282" s="246"/>
      <c r="D282" s="246"/>
      <c r="E282" s="246"/>
      <c r="F282" s="288">
        <f ca="1">+IF(F$277&gt;=F273,$D273,0)</f>
        <v>3</v>
      </c>
      <c r="G282" s="288">
        <f t="shared" ca="1" si="26"/>
        <v>3</v>
      </c>
      <c r="H282" s="288">
        <f t="shared" ca="1" si="26"/>
        <v>3</v>
      </c>
      <c r="I282" s="288">
        <f t="shared" ca="1" si="26"/>
        <v>3</v>
      </c>
      <c r="J282" s="288">
        <f t="shared" ca="1" si="26"/>
        <v>3</v>
      </c>
      <c r="K282" s="246"/>
      <c r="L282" s="246"/>
      <c r="M282" s="246"/>
      <c r="N282" s="246"/>
    </row>
    <row r="283" spans="1:14" x14ac:dyDescent="0.2">
      <c r="A283" s="399"/>
      <c r="B283" s="307" t="str">
        <f>+B274</f>
        <v>Outperformance EBITDA</v>
      </c>
      <c r="C283" s="329"/>
      <c r="D283" s="329"/>
      <c r="E283" s="329"/>
      <c r="F283" s="346">
        <f ca="1">+IF(F$277&gt;=F274,$D274,0)</f>
        <v>0</v>
      </c>
      <c r="G283" s="346">
        <f ca="1">+IF(G$277&gt;=G274,$D274,0)</f>
        <v>0</v>
      </c>
      <c r="H283" s="346">
        <f ca="1">+IF(H$277&gt;=H274,$D274,0)</f>
        <v>0</v>
      </c>
      <c r="I283" s="346">
        <f ca="1">+IF(I$277&gt;=I274,$D274,0)</f>
        <v>0</v>
      </c>
      <c r="J283" s="346">
        <f ca="1">+IF(J$277&gt;=J274,$D274,0)</f>
        <v>0</v>
      </c>
      <c r="K283" s="246"/>
      <c r="L283" s="246"/>
      <c r="M283" s="246"/>
      <c r="N283" s="246"/>
    </row>
    <row r="284" spans="1:14" x14ac:dyDescent="0.2">
      <c r="A284" s="399"/>
      <c r="B284" s="87" t="s">
        <v>206</v>
      </c>
      <c r="C284" s="317"/>
      <c r="D284" s="246"/>
      <c r="E284" s="122"/>
      <c r="F284" s="89">
        <f ca="1">SUM(F281:F283)</f>
        <v>5</v>
      </c>
      <c r="G284" s="89">
        <f t="shared" ref="G284:J284" ca="1" si="27">SUM(G281:G283)</f>
        <v>5</v>
      </c>
      <c r="H284" s="89">
        <f t="shared" ca="1" si="27"/>
        <v>5</v>
      </c>
      <c r="I284" s="89">
        <f t="shared" ca="1" si="27"/>
        <v>5</v>
      </c>
      <c r="J284" s="89">
        <f t="shared" ca="1" si="27"/>
        <v>5</v>
      </c>
      <c r="K284" s="246"/>
      <c r="L284" s="246"/>
      <c r="M284" s="246"/>
      <c r="N284" s="246"/>
    </row>
    <row r="285" spans="1:14" x14ac:dyDescent="0.2">
      <c r="A285" s="399"/>
      <c r="B285" s="396"/>
      <c r="C285" s="317"/>
      <c r="D285" s="246"/>
      <c r="E285" s="122"/>
      <c r="F285" s="122"/>
      <c r="G285" s="122"/>
      <c r="H285" s="122"/>
      <c r="I285" s="122"/>
      <c r="J285" s="122"/>
      <c r="K285" s="246"/>
      <c r="L285" s="246"/>
      <c r="M285" s="246"/>
      <c r="N285" s="246"/>
    </row>
    <row r="286" spans="1:14" x14ac:dyDescent="0.2">
      <c r="A286" s="399"/>
      <c r="B286" s="90" t="s">
        <v>207</v>
      </c>
      <c r="C286" s="317"/>
      <c r="D286" s="246"/>
      <c r="E286" s="122"/>
      <c r="F286" s="122"/>
      <c r="G286" s="122"/>
      <c r="H286" s="122"/>
      <c r="I286" s="122"/>
      <c r="J286" s="122"/>
      <c r="K286" s="246"/>
      <c r="L286" s="246"/>
      <c r="M286" s="246"/>
      <c r="N286" s="246"/>
    </row>
    <row r="287" spans="1:14" x14ac:dyDescent="0.2">
      <c r="A287" s="399"/>
      <c r="B287" s="305" t="s">
        <v>208</v>
      </c>
      <c r="C287" s="246"/>
      <c r="D287" s="246"/>
      <c r="E287" s="246"/>
      <c r="F287" s="347">
        <f ca="1">IF(AND(F$277&gt;F272,F282=0),F$277-F272,0)</f>
        <v>0</v>
      </c>
      <c r="G287" s="347">
        <f t="shared" ref="G287:J288" ca="1" si="28">IF(AND(G$277&gt;G272,G282=0),G$277-G272,0)</f>
        <v>0</v>
      </c>
      <c r="H287" s="347">
        <f t="shared" ca="1" si="28"/>
        <v>0</v>
      </c>
      <c r="I287" s="347">
        <f t="shared" ca="1" si="28"/>
        <v>0</v>
      </c>
      <c r="J287" s="347">
        <f t="shared" ca="1" si="28"/>
        <v>0</v>
      </c>
      <c r="K287" s="246"/>
      <c r="L287" s="246"/>
      <c r="M287" s="246"/>
      <c r="N287" s="246"/>
    </row>
    <row r="288" spans="1:14" x14ac:dyDescent="0.2">
      <c r="A288" s="399"/>
      <c r="B288" s="305" t="s">
        <v>209</v>
      </c>
      <c r="C288" s="246"/>
      <c r="D288" s="246"/>
      <c r="E288" s="246"/>
      <c r="F288" s="347">
        <f ca="1">IF(AND(F$277&gt;F273,F283=0),F$277-F273,0)</f>
        <v>37.53125</v>
      </c>
      <c r="G288" s="347">
        <f t="shared" ca="1" si="28"/>
        <v>39.949999999999761</v>
      </c>
      <c r="H288" s="347">
        <f t="shared" ca="1" si="28"/>
        <v>42.063750000000368</v>
      </c>
      <c r="I288" s="347">
        <f t="shared" ca="1" si="28"/>
        <v>43.327625000000012</v>
      </c>
      <c r="J288" s="347">
        <f t="shared" ca="1" si="28"/>
        <v>43.039793750000399</v>
      </c>
      <c r="K288" s="246"/>
      <c r="L288" s="246"/>
      <c r="M288" s="246"/>
      <c r="N288" s="246"/>
    </row>
    <row r="289" spans="1:14" x14ac:dyDescent="0.2">
      <c r="A289" s="399"/>
      <c r="B289" s="377"/>
      <c r="C289" s="246"/>
      <c r="D289" s="246"/>
      <c r="E289" s="246"/>
      <c r="F289" s="246"/>
      <c r="G289" s="246"/>
      <c r="H289" s="246"/>
      <c r="I289" s="246"/>
      <c r="J289" s="246"/>
      <c r="K289" s="246"/>
      <c r="L289" s="246"/>
      <c r="M289" s="246"/>
      <c r="N289" s="246"/>
    </row>
    <row r="290" spans="1:14" x14ac:dyDescent="0.2">
      <c r="A290" s="399"/>
      <c r="B290" s="72" t="s">
        <v>210</v>
      </c>
      <c r="C290" s="246"/>
      <c r="D290" s="246"/>
      <c r="E290" s="246"/>
      <c r="F290" s="246"/>
      <c r="G290" s="246"/>
      <c r="H290" s="246"/>
      <c r="I290" s="246"/>
      <c r="J290" s="246"/>
      <c r="K290" s="246"/>
      <c r="L290" s="246"/>
      <c r="M290" s="246"/>
      <c r="N290" s="246"/>
    </row>
    <row r="291" spans="1:14" x14ac:dyDescent="0.2">
      <c r="A291" s="399"/>
      <c r="B291" s="305" t="str">
        <f>+B282</f>
        <v>Midpoint EBITDA</v>
      </c>
      <c r="C291" s="246"/>
      <c r="D291" s="246"/>
      <c r="E291" s="246"/>
      <c r="F291" s="347">
        <f ca="1">+(F287/(F273-F272))*$D273</f>
        <v>0</v>
      </c>
      <c r="G291" s="347">
        <f t="shared" ref="G291:J292" ca="1" si="29">+(G287/(G273-G272))*$D273</f>
        <v>0</v>
      </c>
      <c r="H291" s="347">
        <f t="shared" ca="1" si="29"/>
        <v>0</v>
      </c>
      <c r="I291" s="347">
        <f t="shared" ca="1" si="29"/>
        <v>0</v>
      </c>
      <c r="J291" s="347">
        <f t="shared" ca="1" si="29"/>
        <v>0</v>
      </c>
      <c r="K291" s="246"/>
      <c r="L291" s="246"/>
      <c r="M291" s="246"/>
      <c r="N291" s="246"/>
    </row>
    <row r="292" spans="1:14" x14ac:dyDescent="0.2">
      <c r="A292" s="399"/>
      <c r="B292" s="307" t="str">
        <f>+B283</f>
        <v>Outperformance EBITDA</v>
      </c>
      <c r="C292" s="329"/>
      <c r="D292" s="329"/>
      <c r="E292" s="329"/>
      <c r="F292" s="346">
        <f ca="1">+(F288/(F274-F273))*$D274</f>
        <v>4.8741883116883047</v>
      </c>
      <c r="G292" s="346">
        <f t="shared" ca="1" si="29"/>
        <v>4.5115753811405677</v>
      </c>
      <c r="H292" s="346">
        <f t="shared" ca="1" si="29"/>
        <v>4.1306802837994132</v>
      </c>
      <c r="I292" s="346">
        <f t="shared" ca="1" si="29"/>
        <v>3.699820357172217</v>
      </c>
      <c r="J292" s="346">
        <f t="shared" ca="1" si="29"/>
        <v>3.1958625670412326</v>
      </c>
      <c r="K292" s="246"/>
      <c r="L292" s="246"/>
      <c r="M292" s="246"/>
      <c r="N292" s="246"/>
    </row>
    <row r="293" spans="1:14" x14ac:dyDescent="0.2">
      <c r="A293" s="399"/>
      <c r="B293" s="87" t="s">
        <v>210</v>
      </c>
      <c r="C293" s="122"/>
      <c r="D293" s="122"/>
      <c r="E293" s="122"/>
      <c r="F293" s="89">
        <f ca="1">SUM(F291:F292)</f>
        <v>4.8741883116883047</v>
      </c>
      <c r="G293" s="89">
        <f t="shared" ref="G293:J293" ca="1" si="30">SUM(G291:G292)</f>
        <v>4.5115753811405677</v>
      </c>
      <c r="H293" s="89">
        <f t="shared" ca="1" si="30"/>
        <v>4.1306802837994132</v>
      </c>
      <c r="I293" s="89">
        <f t="shared" ca="1" si="30"/>
        <v>3.699820357172217</v>
      </c>
      <c r="J293" s="89">
        <f t="shared" ca="1" si="30"/>
        <v>3.1958625670412326</v>
      </c>
      <c r="K293" s="246"/>
      <c r="L293" s="246"/>
      <c r="M293" s="246"/>
      <c r="N293" s="246"/>
    </row>
    <row r="294" spans="1:14" x14ac:dyDescent="0.2">
      <c r="A294" s="399"/>
      <c r="B294" s="397"/>
      <c r="C294" s="329"/>
      <c r="D294" s="329"/>
      <c r="E294" s="329"/>
      <c r="F294" s="329"/>
      <c r="G294" s="329"/>
      <c r="H294" s="329"/>
      <c r="I294" s="329"/>
      <c r="J294" s="329"/>
      <c r="K294" s="246"/>
      <c r="L294" s="246"/>
      <c r="M294" s="246"/>
      <c r="N294" s="246"/>
    </row>
    <row r="295" spans="1:14" x14ac:dyDescent="0.2">
      <c r="A295" s="399"/>
      <c r="B295" s="87" t="s">
        <v>211</v>
      </c>
      <c r="C295" s="122"/>
      <c r="D295" s="122"/>
      <c r="E295" s="122"/>
      <c r="F295" s="89">
        <f ca="1">+F284+F293</f>
        <v>9.8741883116883038</v>
      </c>
      <c r="G295" s="89">
        <f t="shared" ref="G295:J295" ca="1" si="31">+G284+G293</f>
        <v>9.5115753811405668</v>
      </c>
      <c r="H295" s="89">
        <f t="shared" ca="1" si="31"/>
        <v>9.1306802837994141</v>
      </c>
      <c r="I295" s="89">
        <f t="shared" ca="1" si="31"/>
        <v>8.6998203571722179</v>
      </c>
      <c r="J295" s="89">
        <f t="shared" ca="1" si="31"/>
        <v>8.1958625670412317</v>
      </c>
      <c r="K295" s="246"/>
      <c r="L295" s="246"/>
      <c r="M295" s="246"/>
      <c r="N295" s="246"/>
    </row>
    <row r="296" spans="1:14" x14ac:dyDescent="0.2">
      <c r="A296" s="399"/>
      <c r="B296" s="246"/>
      <c r="C296" s="317"/>
      <c r="D296" s="246"/>
      <c r="E296" s="81"/>
      <c r="F296" s="81"/>
      <c r="G296" s="81"/>
      <c r="H296" s="81"/>
      <c r="I296" s="81"/>
      <c r="J296" s="81"/>
      <c r="K296" s="246"/>
      <c r="L296" s="246"/>
      <c r="M296" s="246"/>
      <c r="N296" s="246"/>
    </row>
    <row r="297" spans="1:14" x14ac:dyDescent="0.2">
      <c r="A297" s="318" t="s">
        <v>310</v>
      </c>
      <c r="B297" s="416" t="s">
        <v>212</v>
      </c>
      <c r="C297" s="417"/>
      <c r="D297" s="417"/>
      <c r="E297" s="417"/>
      <c r="F297" s="417"/>
      <c r="G297" s="417"/>
      <c r="H297" s="417"/>
      <c r="I297" s="417"/>
      <c r="J297" s="417"/>
      <c r="K297" s="246"/>
      <c r="L297" s="246"/>
      <c r="M297" s="246"/>
      <c r="N297" s="246"/>
    </row>
    <row r="298" spans="1:14" x14ac:dyDescent="0.2">
      <c r="A298" s="399"/>
      <c r="B298" s="246"/>
      <c r="C298" s="246"/>
      <c r="D298" s="246"/>
      <c r="E298" s="246"/>
      <c r="F298" s="246"/>
      <c r="G298" s="246"/>
      <c r="H298" s="246"/>
      <c r="I298" s="246"/>
      <c r="J298" s="246"/>
      <c r="K298" s="246"/>
      <c r="L298" s="246"/>
      <c r="M298" s="246"/>
      <c r="N298" s="246"/>
    </row>
    <row r="299" spans="1:14" x14ac:dyDescent="0.2">
      <c r="A299" s="399"/>
      <c r="B299" s="93" t="s">
        <v>213</v>
      </c>
      <c r="C299" s="398"/>
      <c r="D299" s="398"/>
      <c r="E299" s="398"/>
      <c r="F299" s="94">
        <v>2021</v>
      </c>
      <c r="G299" s="94">
        <f>+F299+1</f>
        <v>2022</v>
      </c>
      <c r="H299" s="94">
        <f>+G299+1</f>
        <v>2023</v>
      </c>
      <c r="I299" s="94">
        <f>+H299+1</f>
        <v>2024</v>
      </c>
      <c r="J299" s="94">
        <f>+I299+1</f>
        <v>2025</v>
      </c>
      <c r="K299" s="246"/>
      <c r="L299" s="246"/>
      <c r="M299" s="246"/>
      <c r="N299" s="246"/>
    </row>
    <row r="300" spans="1:14" x14ac:dyDescent="0.2">
      <c r="A300" s="399"/>
      <c r="B300" s="246"/>
      <c r="C300" s="246"/>
      <c r="D300" s="246"/>
      <c r="E300" s="246"/>
      <c r="F300" s="81"/>
      <c r="G300" s="81"/>
      <c r="H300" s="246"/>
      <c r="I300" s="246"/>
      <c r="J300" s="246"/>
      <c r="K300" s="246"/>
      <c r="L300" s="246"/>
      <c r="M300" s="246"/>
      <c r="N300" s="246"/>
    </row>
    <row r="301" spans="1:14" x14ac:dyDescent="0.2">
      <c r="A301" s="399"/>
      <c r="B301" t="s">
        <v>214</v>
      </c>
      <c r="C301" s="246"/>
      <c r="D301" s="246"/>
      <c r="E301" s="246"/>
      <c r="F301" s="33">
        <v>150</v>
      </c>
      <c r="G301" s="33">
        <f>+F301+25</f>
        <v>175</v>
      </c>
      <c r="H301" s="33">
        <f>+G301+25</f>
        <v>200</v>
      </c>
      <c r="I301" s="33">
        <f>+H301+25</f>
        <v>225</v>
      </c>
      <c r="J301" s="33">
        <f>+I301+25</f>
        <v>250</v>
      </c>
      <c r="K301" s="246"/>
      <c r="L301" s="246"/>
      <c r="M301" s="246"/>
      <c r="N301" s="246"/>
    </row>
    <row r="302" spans="1:14" x14ac:dyDescent="0.2">
      <c r="A302" s="399"/>
      <c r="B302" s="246"/>
      <c r="C302" s="246"/>
      <c r="D302" s="246"/>
      <c r="E302" s="246"/>
      <c r="F302" s="33"/>
      <c r="G302" s="33"/>
      <c r="H302" s="33"/>
      <c r="I302" s="33"/>
      <c r="J302" s="33"/>
      <c r="K302" s="246"/>
      <c r="L302" s="246"/>
      <c r="M302" s="246"/>
      <c r="N302" s="246"/>
    </row>
    <row r="303" spans="1:14" x14ac:dyDescent="0.2">
      <c r="A303" s="399"/>
      <c r="B303" s="96" t="s">
        <v>215</v>
      </c>
      <c r="C303" s="381"/>
      <c r="D303" s="381"/>
      <c r="E303" s="381"/>
      <c r="F303" s="97">
        <f ca="1">+F216</f>
        <v>-337.63852468857249</v>
      </c>
      <c r="G303" s="97">
        <f ca="1">+G216</f>
        <v>108.05948750043734</v>
      </c>
      <c r="H303" s="97">
        <f ca="1">+H216</f>
        <v>161.55140855538798</v>
      </c>
      <c r="I303" s="97">
        <f ca="1">+I216</f>
        <v>133.02125447089657</v>
      </c>
      <c r="J303" s="98">
        <f ca="1">+J216</f>
        <v>203.5466899287739</v>
      </c>
      <c r="K303" s="246"/>
      <c r="L303" s="246"/>
      <c r="M303" s="246"/>
      <c r="N303" s="246"/>
    </row>
    <row r="304" spans="1:14" x14ac:dyDescent="0.2">
      <c r="A304" s="399"/>
      <c r="B304" s="32"/>
      <c r="C304" s="32"/>
      <c r="D304" s="32"/>
      <c r="E304" s="32"/>
      <c r="F304" s="32"/>
      <c r="G304" s="32"/>
      <c r="H304" s="32"/>
      <c r="I304" s="32"/>
      <c r="J304" s="32"/>
      <c r="K304" s="246"/>
      <c r="L304" s="246"/>
      <c r="M304" s="246"/>
      <c r="N304" s="246"/>
    </row>
    <row r="305" spans="1:14" x14ac:dyDescent="0.2">
      <c r="A305" s="399"/>
      <c r="B305" s="72" t="s">
        <v>41</v>
      </c>
      <c r="C305" s="400"/>
      <c r="D305" s="400"/>
      <c r="E305" s="400"/>
      <c r="F305" s="246"/>
      <c r="G305" s="246"/>
      <c r="H305" s="246"/>
      <c r="I305" s="246"/>
      <c r="J305" s="246"/>
      <c r="K305" s="246"/>
      <c r="L305" s="246"/>
      <c r="M305" s="246"/>
      <c r="N305" s="246"/>
    </row>
    <row r="306" spans="1:14" x14ac:dyDescent="0.2">
      <c r="A306" s="399"/>
      <c r="B306" t="s">
        <v>216</v>
      </c>
      <c r="C306" s="246"/>
      <c r="D306" s="246"/>
      <c r="E306" s="246"/>
      <c r="F306" s="266">
        <f>+E42</f>
        <v>0</v>
      </c>
      <c r="G306" s="266">
        <f ca="1">+F308</f>
        <v>337.63852468857249</v>
      </c>
      <c r="H306" s="266">
        <f ca="1">+G308</f>
        <v>229.57903718813515</v>
      </c>
      <c r="I306" s="266">
        <f t="shared" ref="I306:J306" ca="1" si="32">+H308</f>
        <v>68.027628632747167</v>
      </c>
      <c r="J306" s="266">
        <f t="shared" ca="1" si="32"/>
        <v>0</v>
      </c>
      <c r="K306" s="246"/>
      <c r="L306" s="246"/>
      <c r="M306" s="246"/>
      <c r="N306" s="246"/>
    </row>
    <row r="307" spans="1:14" x14ac:dyDescent="0.2">
      <c r="A307" s="399"/>
      <c r="B307" s="245" t="s">
        <v>180</v>
      </c>
      <c r="C307" s="329"/>
      <c r="D307" s="329"/>
      <c r="E307" s="329"/>
      <c r="F307" s="329">
        <f ca="1">MIN(F310,-MIN(F306,F303))</f>
        <v>337.63852468857249</v>
      </c>
      <c r="G307" s="329">
        <f t="shared" ref="G307:J307" ca="1" si="33">MIN(G310,-MIN(G306,G303))</f>
        <v>-108.05948750043734</v>
      </c>
      <c r="H307" s="329">
        <f t="shared" ca="1" si="33"/>
        <v>-161.55140855538798</v>
      </c>
      <c r="I307" s="329">
        <f t="shared" ca="1" si="33"/>
        <v>-68.027628632747167</v>
      </c>
      <c r="J307" s="329">
        <f t="shared" ca="1" si="33"/>
        <v>0</v>
      </c>
      <c r="K307" s="246"/>
      <c r="L307" s="246"/>
      <c r="M307" s="246"/>
      <c r="N307" s="246"/>
    </row>
    <row r="308" spans="1:14" x14ac:dyDescent="0.2">
      <c r="A308" s="399"/>
      <c r="B308" s="8" t="s">
        <v>217</v>
      </c>
      <c r="C308" s="122"/>
      <c r="D308" s="122"/>
      <c r="E308" s="122"/>
      <c r="F308" s="48">
        <f ca="1">SUM(F306:F307)</f>
        <v>337.63852468857249</v>
      </c>
      <c r="G308" s="48">
        <f t="shared" ref="G308:J308" ca="1" si="34">SUM(G306:G307)</f>
        <v>229.57903718813515</v>
      </c>
      <c r="H308" s="48">
        <f t="shared" ca="1" si="34"/>
        <v>68.027628632747167</v>
      </c>
      <c r="I308" s="48">
        <f t="shared" ca="1" si="34"/>
        <v>0</v>
      </c>
      <c r="J308" s="48">
        <f t="shared" ca="1" si="34"/>
        <v>0</v>
      </c>
      <c r="K308" s="246"/>
      <c r="L308" s="246"/>
      <c r="M308" s="246"/>
      <c r="N308" s="246"/>
    </row>
    <row r="309" spans="1:14" x14ac:dyDescent="0.2">
      <c r="A309" s="399"/>
      <c r="B309" s="246"/>
      <c r="C309" s="246"/>
      <c r="D309" s="246"/>
      <c r="E309" s="246"/>
      <c r="F309" s="246"/>
      <c r="G309" s="246"/>
      <c r="H309" s="246"/>
      <c r="I309" s="246"/>
      <c r="J309" s="246"/>
      <c r="K309" s="246"/>
      <c r="L309" s="246"/>
      <c r="M309" s="246"/>
      <c r="N309" s="246"/>
    </row>
    <row r="310" spans="1:14" x14ac:dyDescent="0.2">
      <c r="A310" s="399"/>
      <c r="B310" t="s">
        <v>218</v>
      </c>
      <c r="C310" s="246"/>
      <c r="D310" s="246"/>
      <c r="E310" s="246"/>
      <c r="F310" s="46">
        <f>+$J$19-F306</f>
        <v>1000</v>
      </c>
      <c r="G310" s="46">
        <f ca="1">+$J$19-G306</f>
        <v>662.36147531142751</v>
      </c>
      <c r="H310" s="46">
        <f ca="1">+$J$19-H306</f>
        <v>770.42096281186491</v>
      </c>
      <c r="I310" s="46">
        <f ca="1">+$J$19-I306</f>
        <v>931.97237136725289</v>
      </c>
      <c r="J310" s="46">
        <f ca="1">+$J$19-J306</f>
        <v>1000</v>
      </c>
      <c r="K310" s="246"/>
      <c r="L310" s="246"/>
      <c r="M310" s="246"/>
      <c r="N310" s="246"/>
    </row>
    <row r="311" spans="1:14" x14ac:dyDescent="0.2">
      <c r="A311" s="399"/>
      <c r="B311" t="s">
        <v>219</v>
      </c>
      <c r="C311" s="246"/>
      <c r="D311" s="246"/>
      <c r="E311" s="246"/>
      <c r="F311" s="46">
        <f ca="1">+F310-F307</f>
        <v>662.36147531142751</v>
      </c>
      <c r="G311" s="46">
        <f t="shared" ref="G311:J311" ca="1" si="35">+G310-G307</f>
        <v>770.42096281186491</v>
      </c>
      <c r="H311" s="46">
        <f t="shared" ca="1" si="35"/>
        <v>931.97237136725289</v>
      </c>
      <c r="I311" s="46">
        <f t="shared" ca="1" si="35"/>
        <v>1000</v>
      </c>
      <c r="J311" s="46">
        <f t="shared" ca="1" si="35"/>
        <v>1000</v>
      </c>
      <c r="K311" s="246"/>
      <c r="L311" s="246"/>
      <c r="M311" s="246"/>
      <c r="N311" s="246"/>
    </row>
    <row r="312" spans="1:14" x14ac:dyDescent="0.2">
      <c r="A312" s="399"/>
      <c r="B312" s="246"/>
      <c r="C312" s="246"/>
      <c r="D312" s="246"/>
      <c r="E312" s="246"/>
      <c r="F312" s="32"/>
      <c r="G312" s="32"/>
      <c r="H312" s="32"/>
      <c r="I312" s="32"/>
      <c r="J312" s="32"/>
      <c r="K312" s="246"/>
      <c r="L312" s="246"/>
      <c r="M312" s="246"/>
      <c r="N312" s="246"/>
    </row>
    <row r="313" spans="1:14" x14ac:dyDescent="0.2">
      <c r="A313" s="399"/>
      <c r="B313" s="318" t="s">
        <v>220</v>
      </c>
      <c r="C313" s="246"/>
      <c r="D313" s="246"/>
      <c r="E313" s="246"/>
      <c r="F313" s="100">
        <f ca="1">+IF(F311&lt;0,0,1)</f>
        <v>1</v>
      </c>
      <c r="G313" s="100">
        <f t="shared" ref="G313:J313" ca="1" si="36">+IF(G311&lt;0,0,1)</f>
        <v>1</v>
      </c>
      <c r="H313" s="100">
        <f t="shared" ca="1" si="36"/>
        <v>1</v>
      </c>
      <c r="I313" s="100">
        <f t="shared" ca="1" si="36"/>
        <v>1</v>
      </c>
      <c r="J313" s="100">
        <f t="shared" ca="1" si="36"/>
        <v>1</v>
      </c>
      <c r="K313" s="246"/>
      <c r="L313" s="246"/>
      <c r="M313" s="246"/>
      <c r="N313" s="246"/>
    </row>
    <row r="314" spans="1:14" x14ac:dyDescent="0.2">
      <c r="A314" s="399"/>
      <c r="B314" s="246"/>
      <c r="C314" s="246"/>
      <c r="D314" s="246"/>
      <c r="E314" s="246"/>
      <c r="F314" s="246"/>
      <c r="G314" s="246"/>
      <c r="H314" s="246"/>
      <c r="I314" s="246"/>
      <c r="J314" s="246"/>
      <c r="K314" s="246"/>
      <c r="L314" s="246"/>
      <c r="M314" s="246"/>
      <c r="N314" s="246"/>
    </row>
    <row r="315" spans="1:14" x14ac:dyDescent="0.2">
      <c r="A315" s="399"/>
      <c r="B315" t="s">
        <v>221</v>
      </c>
      <c r="C315" s="246"/>
      <c r="D315" s="246"/>
      <c r="E315" s="246"/>
      <c r="F315" s="116">
        <f>MAX($F$27,F$301/10000)+($E$27/10000)</f>
        <v>5.5E-2</v>
      </c>
      <c r="G315" s="116">
        <f>MAX($F$27,G$301/10000)+($E$27/10000)</f>
        <v>5.7500000000000002E-2</v>
      </c>
      <c r="H315" s="116">
        <f>MAX($F$27,H$301/10000)+($E$27/10000)</f>
        <v>0.06</v>
      </c>
      <c r="I315" s="116">
        <f>MAX($F$27,I$301/10000)+($E$27/10000)</f>
        <v>6.25E-2</v>
      </c>
      <c r="J315" s="116">
        <f>MAX($F$27,J$301/10000)+($E$27/10000)</f>
        <v>6.5000000000000002E-2</v>
      </c>
      <c r="K315" s="246"/>
      <c r="L315" s="246"/>
      <c r="M315" s="246"/>
      <c r="N315" s="246"/>
    </row>
    <row r="316" spans="1:14" x14ac:dyDescent="0.2">
      <c r="A316" s="399"/>
      <c r="B316" t="s">
        <v>222</v>
      </c>
      <c r="C316" s="246"/>
      <c r="D316" s="246"/>
      <c r="E316" s="246"/>
      <c r="F316" s="266">
        <f ca="1">IF($J$23=1,AVERAGE(F306,F308)*F315,0)</f>
        <v>9.2850594289357442</v>
      </c>
      <c r="G316" s="266">
        <f ca="1">IF($J$23=1,AVERAGE(G306,G308)*G315,0)</f>
        <v>16.307504903955344</v>
      </c>
      <c r="H316" s="266">
        <f ca="1">IF($J$23=1,AVERAGE(H306,H308)*H315,0)</f>
        <v>8.9281999746264695</v>
      </c>
      <c r="I316" s="266">
        <f ca="1">IF($J$23=1,AVERAGE(I306,I308)*I315,0)</f>
        <v>2.125863394773349</v>
      </c>
      <c r="J316" s="266">
        <f ca="1">IF($J$23=1,AVERAGE(J306,J308)*J315,0)</f>
        <v>0</v>
      </c>
      <c r="K316" s="246"/>
      <c r="L316" s="246"/>
      <c r="M316" s="246"/>
      <c r="N316" s="246"/>
    </row>
    <row r="317" spans="1:14" x14ac:dyDescent="0.2">
      <c r="A317" s="399"/>
      <c r="B317" s="246"/>
      <c r="C317" s="246"/>
      <c r="D317" s="246"/>
      <c r="E317" s="246"/>
      <c r="F317" s="246"/>
      <c r="G317" s="246"/>
      <c r="H317" s="246"/>
      <c r="I317" s="246"/>
      <c r="J317" s="246"/>
      <c r="K317" s="246"/>
      <c r="L317" s="246"/>
      <c r="M317" s="246"/>
      <c r="N317" s="246"/>
    </row>
    <row r="318" spans="1:14" x14ac:dyDescent="0.2">
      <c r="A318" s="399"/>
      <c r="B318" t="s">
        <v>223</v>
      </c>
      <c r="C318" s="246"/>
      <c r="D318" s="246"/>
      <c r="E318" s="246"/>
      <c r="F318" s="101">
        <f ca="1">+IF($J$23=1,AVERAGE(F310,F311)*$J$20,0)</f>
        <v>2.0779518441392844</v>
      </c>
      <c r="G318" s="101">
        <f ca="1">+IF($J$23=1,AVERAGE(G310,G311)*$J$20,0)</f>
        <v>1.7909780476541155</v>
      </c>
      <c r="H318" s="101">
        <f ca="1">+IF($J$23=1,AVERAGE(H310,H311)*$J$20,0)</f>
        <v>2.1279916677238973</v>
      </c>
      <c r="I318" s="101">
        <f ca="1">+IF($J$23=1,AVERAGE(I310,I311)*$J$20,0)</f>
        <v>2.4149654642090663</v>
      </c>
      <c r="J318" s="101">
        <f ca="1">+IF($J$23=1,AVERAGE(J310,J311)*$J$20,0)</f>
        <v>2.5</v>
      </c>
      <c r="K318" s="246"/>
      <c r="L318" s="246"/>
      <c r="M318" s="246"/>
      <c r="N318" s="246"/>
    </row>
    <row r="319" spans="1:14" x14ac:dyDescent="0.2">
      <c r="A319" s="399"/>
      <c r="B319" s="246"/>
      <c r="C319" s="246"/>
      <c r="D319" s="246"/>
      <c r="E319" s="246"/>
      <c r="F319" s="32"/>
      <c r="G319" s="32"/>
      <c r="H319" s="32"/>
      <c r="I319" s="32"/>
      <c r="J319" s="32"/>
      <c r="K319" s="246"/>
      <c r="L319" s="246"/>
      <c r="M319" s="246"/>
      <c r="N319" s="246"/>
    </row>
    <row r="320" spans="1:14" x14ac:dyDescent="0.2">
      <c r="A320" s="399"/>
      <c r="B320" s="96" t="s">
        <v>224</v>
      </c>
      <c r="C320" s="381"/>
      <c r="D320" s="381"/>
      <c r="E320" s="381"/>
      <c r="F320" s="97">
        <f ca="1">+F303+F307</f>
        <v>0</v>
      </c>
      <c r="G320" s="97">
        <f t="shared" ref="G320:J320" ca="1" si="37">+G303+G307</f>
        <v>0</v>
      </c>
      <c r="H320" s="97">
        <f t="shared" ca="1" si="37"/>
        <v>0</v>
      </c>
      <c r="I320" s="97">
        <f t="shared" ca="1" si="37"/>
        <v>64.993625838149399</v>
      </c>
      <c r="J320" s="98">
        <f t="shared" ca="1" si="37"/>
        <v>203.5466899287739</v>
      </c>
      <c r="K320" s="246"/>
      <c r="L320" s="246"/>
      <c r="M320" s="246"/>
      <c r="N320" s="246"/>
    </row>
    <row r="321" spans="1:14" x14ac:dyDescent="0.2">
      <c r="A321" s="399"/>
      <c r="B321" s="246"/>
      <c r="C321" s="246"/>
      <c r="D321" s="246"/>
      <c r="E321" s="246"/>
      <c r="F321" s="32"/>
      <c r="G321" s="32"/>
      <c r="H321" s="32"/>
      <c r="I321" s="32"/>
      <c r="J321" s="32"/>
      <c r="K321" s="246"/>
      <c r="L321" s="246"/>
      <c r="M321" s="246"/>
      <c r="N321" s="246"/>
    </row>
    <row r="322" spans="1:14" x14ac:dyDescent="0.2">
      <c r="A322" s="399"/>
      <c r="B322" s="72" t="s">
        <v>42</v>
      </c>
      <c r="C322" s="400"/>
      <c r="D322" s="400"/>
      <c r="E322" s="400"/>
      <c r="F322" s="246"/>
      <c r="G322" s="246"/>
      <c r="H322" s="246"/>
      <c r="I322" s="246"/>
      <c r="J322" s="246"/>
      <c r="K322" s="246"/>
      <c r="L322" s="246"/>
      <c r="M322" s="246"/>
      <c r="N322" s="246"/>
    </row>
    <row r="323" spans="1:14" x14ac:dyDescent="0.2">
      <c r="A323" s="399"/>
      <c r="B323" t="s">
        <v>216</v>
      </c>
      <c r="C323" s="246"/>
      <c r="D323" s="246"/>
      <c r="E323" s="246"/>
      <c r="F323" s="46">
        <f>+E43</f>
        <v>2070</v>
      </c>
      <c r="G323" s="46">
        <f ca="1">+F326</f>
        <v>1966.5</v>
      </c>
      <c r="H323" s="46">
        <f t="shared" ref="H323:J323" ca="1" si="38">+G326</f>
        <v>1863</v>
      </c>
      <c r="I323" s="46">
        <f t="shared" ca="1" si="38"/>
        <v>1759.5</v>
      </c>
      <c r="J323" s="46">
        <f t="shared" ca="1" si="38"/>
        <v>1591.0063741618505</v>
      </c>
      <c r="K323" s="246"/>
      <c r="L323" s="246"/>
      <c r="M323" s="246"/>
      <c r="N323" s="246"/>
    </row>
    <row r="324" spans="1:14" x14ac:dyDescent="0.2">
      <c r="A324" s="399"/>
      <c r="B324" t="s">
        <v>176</v>
      </c>
      <c r="C324" s="246"/>
      <c r="D324" s="246"/>
      <c r="E324" s="246"/>
      <c r="F324" s="32">
        <f>-MIN($E$43*$G$28,F323)</f>
        <v>-103.5</v>
      </c>
      <c r="G324" s="32">
        <f ca="1">-MIN($E$43*$G$28,G323)</f>
        <v>-103.5</v>
      </c>
      <c r="H324" s="32">
        <f ca="1">-MIN($E$43*$G$28,H323)</f>
        <v>-103.5</v>
      </c>
      <c r="I324" s="32">
        <f ca="1">-MIN($E$43*$G$28,I323)</f>
        <v>-103.5</v>
      </c>
      <c r="J324" s="32">
        <f ca="1">-MIN($E$43*$G$28,J323)</f>
        <v>-103.5</v>
      </c>
      <c r="K324" s="246"/>
      <c r="L324" s="246"/>
      <c r="M324" s="246"/>
      <c r="N324" s="246"/>
    </row>
    <row r="325" spans="1:14" x14ac:dyDescent="0.2">
      <c r="A325" s="399"/>
      <c r="B325" s="245" t="s">
        <v>182</v>
      </c>
      <c r="C325" s="329"/>
      <c r="D325" s="329"/>
      <c r="E325" s="329"/>
      <c r="F325" s="47">
        <f ca="1">-MIN(SUM(F323:F324),F320)</f>
        <v>0</v>
      </c>
      <c r="G325" s="47">
        <f t="shared" ref="G325:J325" ca="1" si="39">-MIN(SUM(G323:G324),G320)</f>
        <v>0</v>
      </c>
      <c r="H325" s="47">
        <f t="shared" ca="1" si="39"/>
        <v>0</v>
      </c>
      <c r="I325" s="47">
        <f t="shared" ca="1" si="39"/>
        <v>-64.993625838149399</v>
      </c>
      <c r="J325" s="47">
        <f t="shared" ca="1" si="39"/>
        <v>-203.5466899287739</v>
      </c>
      <c r="K325" s="246"/>
      <c r="L325" s="246"/>
      <c r="M325" s="246"/>
      <c r="N325" s="246"/>
    </row>
    <row r="326" spans="1:14" x14ac:dyDescent="0.2">
      <c r="A326" s="399"/>
      <c r="B326" s="8" t="s">
        <v>217</v>
      </c>
      <c r="C326" s="122"/>
      <c r="D326" s="122"/>
      <c r="E326" s="122"/>
      <c r="F326" s="11">
        <f ca="1">SUM(F323:F325)</f>
        <v>1966.5</v>
      </c>
      <c r="G326" s="11">
        <f t="shared" ref="G326:J326" ca="1" si="40">SUM(G323:G325)</f>
        <v>1863</v>
      </c>
      <c r="H326" s="11">
        <f t="shared" ca="1" si="40"/>
        <v>1759.5</v>
      </c>
      <c r="I326" s="11">
        <f t="shared" ca="1" si="40"/>
        <v>1591.0063741618505</v>
      </c>
      <c r="J326" s="11">
        <f t="shared" ca="1" si="40"/>
        <v>1283.9596842330766</v>
      </c>
      <c r="K326" s="246"/>
      <c r="L326" s="246"/>
      <c r="M326" s="246"/>
      <c r="N326" s="246"/>
    </row>
    <row r="327" spans="1:14" x14ac:dyDescent="0.2">
      <c r="A327" s="399"/>
      <c r="B327" s="246"/>
      <c r="C327" s="246"/>
      <c r="D327" s="246"/>
      <c r="E327" s="246"/>
      <c r="F327" s="246"/>
      <c r="G327" s="246"/>
      <c r="H327" s="246"/>
      <c r="I327" s="246"/>
      <c r="J327" s="246"/>
      <c r="K327" s="246"/>
      <c r="L327" s="246"/>
      <c r="M327" s="246"/>
      <c r="N327" s="246"/>
    </row>
    <row r="328" spans="1:14" x14ac:dyDescent="0.2">
      <c r="A328" s="399"/>
      <c r="B328" t="s">
        <v>225</v>
      </c>
      <c r="C328" s="246"/>
      <c r="D328" s="246"/>
      <c r="E328" s="246"/>
      <c r="F328" s="116">
        <f>MAX($F$28,F$301/10000)+($E$28/10000)</f>
        <v>5.5E-2</v>
      </c>
      <c r="G328" s="116">
        <f>MAX($F$28,G$301/10000)+($E$28/10000)</f>
        <v>5.7500000000000002E-2</v>
      </c>
      <c r="H328" s="116">
        <f>MAX($F$28,H$301/10000)+($E$28/10000)</f>
        <v>0.06</v>
      </c>
      <c r="I328" s="116">
        <f>MAX($F$28,I$301/10000)+($E$28/10000)</f>
        <v>6.25E-2</v>
      </c>
      <c r="J328" s="116">
        <f>MAX($F$28,J$301/10000)+($E$28/10000)</f>
        <v>6.5000000000000002E-2</v>
      </c>
      <c r="K328" s="246"/>
      <c r="L328" s="246"/>
      <c r="M328" s="246"/>
      <c r="N328" s="246"/>
    </row>
    <row r="329" spans="1:14" x14ac:dyDescent="0.2">
      <c r="A329" s="399"/>
      <c r="B329" t="s">
        <v>226</v>
      </c>
      <c r="C329" s="246"/>
      <c r="D329" s="246"/>
      <c r="E329" s="246"/>
      <c r="F329" s="46">
        <f ca="1">IF($J$23=1,AVERAGE(F323,F326)*F328,0)</f>
        <v>111.00375</v>
      </c>
      <c r="G329" s="46">
        <f ca="1">IF($J$23=1,AVERAGE(G323,G326)*G328,0)</f>
        <v>110.09812500000001</v>
      </c>
      <c r="H329" s="46">
        <f ca="1">IF($J$23=1,AVERAGE(H323,H326)*H328,0)</f>
        <v>108.675</v>
      </c>
      <c r="I329" s="46">
        <f ca="1">IF($J$23=1,AVERAGE(I323,I326)*I328,0)</f>
        <v>104.70332419255783</v>
      </c>
      <c r="J329" s="46">
        <f ca="1">IF($J$23=1,AVERAGE(J323,J326)*J328,0)</f>
        <v>93.436396897835138</v>
      </c>
      <c r="K329" s="246"/>
      <c r="L329" s="246"/>
      <c r="M329" s="246"/>
      <c r="N329" s="246"/>
    </row>
    <row r="330" spans="1:14" x14ac:dyDescent="0.2">
      <c r="A330" s="399"/>
      <c r="B330" s="246"/>
      <c r="C330" s="246"/>
      <c r="D330" s="246"/>
      <c r="E330" s="246"/>
      <c r="F330" s="32"/>
      <c r="G330" s="32"/>
      <c r="H330" s="32"/>
      <c r="I330" s="32"/>
      <c r="J330" s="32"/>
      <c r="K330" s="246"/>
      <c r="L330" s="246"/>
      <c r="M330" s="246"/>
      <c r="N330" s="246"/>
    </row>
    <row r="331" spans="1:14" x14ac:dyDescent="0.2">
      <c r="A331" s="399"/>
      <c r="B331" s="72" t="s">
        <v>227</v>
      </c>
      <c r="C331" s="400"/>
      <c r="D331" s="246"/>
      <c r="E331" s="246"/>
      <c r="F331" s="32"/>
      <c r="G331" s="32"/>
      <c r="H331" s="32"/>
      <c r="I331" s="32"/>
      <c r="J331" s="32"/>
      <c r="K331" s="246"/>
      <c r="L331" s="246"/>
      <c r="M331" s="246"/>
      <c r="N331" s="246"/>
    </row>
    <row r="332" spans="1:14" x14ac:dyDescent="0.2">
      <c r="A332" s="399"/>
      <c r="B332" t="s">
        <v>228</v>
      </c>
      <c r="C332" s="246"/>
      <c r="D332" s="246"/>
      <c r="E332" s="246"/>
      <c r="F332" s="60">
        <v>0</v>
      </c>
      <c r="G332" s="46">
        <f ca="1">+$E$34*G190</f>
        <v>2839.1305477131555</v>
      </c>
      <c r="H332" s="46">
        <f ca="1">+$E$34*H190</f>
        <v>3252.573418297206</v>
      </c>
      <c r="I332" s="46">
        <f ca="1">+$E$34*I190</f>
        <v>3720.9880778569668</v>
      </c>
      <c r="J332" s="46">
        <f ca="1">+$E$34*J190</f>
        <v>4249.2680245977544</v>
      </c>
      <c r="K332" s="246"/>
      <c r="L332" s="246"/>
      <c r="M332" s="246"/>
      <c r="N332" s="246"/>
    </row>
    <row r="333" spans="1:14" x14ac:dyDescent="0.2">
      <c r="A333" s="399"/>
      <c r="B333" s="245" t="s">
        <v>229</v>
      </c>
      <c r="C333" s="329"/>
      <c r="D333" s="329"/>
      <c r="E333" s="329"/>
      <c r="F333" s="37">
        <v>0</v>
      </c>
      <c r="G333" s="47">
        <f ca="1">-SUM(G308,G326)</f>
        <v>-2092.5790371881353</v>
      </c>
      <c r="H333" s="47">
        <f ca="1">-SUM(H308,H326)</f>
        <v>-1827.5276286327471</v>
      </c>
      <c r="I333" s="47">
        <f ca="1">-SUM(I308,I326)</f>
        <v>-1591.0063741618505</v>
      </c>
      <c r="J333" s="47">
        <f ca="1">-SUM(J308,J326)</f>
        <v>-1283.9596842330766</v>
      </c>
      <c r="K333" s="246"/>
      <c r="L333" s="246"/>
      <c r="M333" s="246"/>
      <c r="N333" s="246"/>
    </row>
    <row r="334" spans="1:14" x14ac:dyDescent="0.2">
      <c r="A334" s="399"/>
      <c r="B334" s="8" t="s">
        <v>230</v>
      </c>
      <c r="C334" s="122"/>
      <c r="D334" s="122"/>
      <c r="E334" s="122"/>
      <c r="F334" s="11">
        <f>+MAX(IF($E$33=1,SUM(F332:F333),0),0)</f>
        <v>0</v>
      </c>
      <c r="G334" s="11">
        <f ca="1">+MAX(IF($E$33=1,SUM(G332:G333),0),0)</f>
        <v>746.55151052502015</v>
      </c>
      <c r="H334" s="11">
        <f ca="1">+MAX(IF($E$33=1,SUM(H332:H333),0),0)</f>
        <v>1425.0457896644589</v>
      </c>
      <c r="I334" s="11">
        <f ca="1">+MAX(IF($E$33=1,SUM(I332:I333),0),0)</f>
        <v>2129.9817036951163</v>
      </c>
      <c r="J334" s="11">
        <f ca="1">+MAX(IF($E$33=1,SUM(J332:J333),0),0)</f>
        <v>2965.3083403646779</v>
      </c>
      <c r="K334" s="246"/>
      <c r="L334" s="246"/>
      <c r="M334" s="246"/>
      <c r="N334" s="246"/>
    </row>
    <row r="335" spans="1:14" x14ac:dyDescent="0.2">
      <c r="A335" s="399"/>
      <c r="B335" s="246"/>
      <c r="C335" s="246"/>
      <c r="D335" s="246"/>
      <c r="E335" s="246"/>
      <c r="F335" s="32"/>
      <c r="G335" s="32"/>
      <c r="H335" s="32"/>
      <c r="I335" s="32"/>
      <c r="J335" s="32"/>
      <c r="K335" s="246"/>
      <c r="L335" s="246"/>
      <c r="M335" s="246"/>
      <c r="N335" s="246"/>
    </row>
    <row r="336" spans="1:14" x14ac:dyDescent="0.2">
      <c r="A336" s="399"/>
      <c r="B336" t="s">
        <v>231</v>
      </c>
      <c r="C336" s="246"/>
      <c r="D336" s="246"/>
      <c r="E336" s="246"/>
      <c r="F336" s="32"/>
      <c r="G336" s="32"/>
      <c r="H336" s="348">
        <f>+IF(AND($E$33=1,$E$36&lt;=H299),1,0)</f>
        <v>0</v>
      </c>
      <c r="I336" s="348">
        <f>+IF(AND($E$33=1,$E$36&lt;=I299),1,0)</f>
        <v>1</v>
      </c>
      <c r="J336" s="348">
        <f>+IF(AND($E$33=1,$E$36&lt;=J299),1,0)</f>
        <v>1</v>
      </c>
      <c r="K336" s="246"/>
      <c r="L336" s="246"/>
      <c r="M336" s="246"/>
      <c r="N336" s="246"/>
    </row>
    <row r="337" spans="1:14" x14ac:dyDescent="0.2">
      <c r="A337" s="399"/>
      <c r="B337" s="246"/>
      <c r="C337" s="246"/>
      <c r="D337" s="246"/>
      <c r="E337" s="246"/>
      <c r="F337" s="32"/>
      <c r="G337" s="32"/>
      <c r="H337" s="32"/>
      <c r="I337" s="32"/>
      <c r="J337" s="32"/>
      <c r="K337" s="246"/>
      <c r="L337" s="246"/>
      <c r="M337" s="246"/>
      <c r="N337" s="246"/>
    </row>
    <row r="338" spans="1:14" x14ac:dyDescent="0.2">
      <c r="A338" s="399"/>
      <c r="B338" s="72" t="s">
        <v>232</v>
      </c>
      <c r="C338" s="246"/>
      <c r="D338" s="246"/>
      <c r="E338" s="246"/>
      <c r="F338" s="32"/>
      <c r="G338" s="32"/>
      <c r="H338" s="32"/>
      <c r="I338" s="32"/>
      <c r="J338" s="32"/>
      <c r="K338" s="246"/>
      <c r="L338" s="246"/>
      <c r="M338" s="246"/>
      <c r="N338" s="246"/>
    </row>
    <row r="339" spans="1:14" x14ac:dyDescent="0.2">
      <c r="A339" s="399"/>
      <c r="B339" t="s">
        <v>233</v>
      </c>
      <c r="C339" s="246"/>
      <c r="D339" s="246"/>
      <c r="E339" s="246"/>
      <c r="F339" s="32"/>
      <c r="G339" s="81"/>
      <c r="H339" s="104">
        <f ca="1">+SUM(H308,H326,H347)/H190</f>
        <v>3.3712277515743176</v>
      </c>
      <c r="I339" s="104">
        <f ca="1">+SUM(I308,I326,I347)/I190</f>
        <v>4.8633085095451554</v>
      </c>
      <c r="J339" s="104">
        <f ca="1">+SUM(J308,J326,J347)/J190</f>
        <v>3.8251371175683504</v>
      </c>
      <c r="K339" s="246"/>
      <c r="L339" s="246"/>
      <c r="M339" s="246"/>
      <c r="N339" s="246"/>
    </row>
    <row r="340" spans="1:14" x14ac:dyDescent="0.2">
      <c r="A340" s="399"/>
      <c r="B340" s="318" t="s">
        <v>234</v>
      </c>
      <c r="C340" s="246"/>
      <c r="D340" s="246"/>
      <c r="E340" s="246"/>
      <c r="F340" s="32"/>
      <c r="G340" s="32"/>
      <c r="H340" s="105">
        <f ca="1">+IF(H339&lt;$E$34,1,0)</f>
        <v>1</v>
      </c>
      <c r="I340" s="105">
        <f ca="1">+IF(I339&lt;$E$34,1,0)</f>
        <v>1</v>
      </c>
      <c r="J340" s="105">
        <f ca="1">+IF(J339&lt;$E$34,1,0)</f>
        <v>1</v>
      </c>
      <c r="K340" s="246"/>
      <c r="L340" s="246"/>
      <c r="M340" s="246"/>
      <c r="N340" s="246"/>
    </row>
    <row r="341" spans="1:14" x14ac:dyDescent="0.2">
      <c r="A341" s="399"/>
      <c r="B341" t="s">
        <v>235</v>
      </c>
      <c r="C341" s="246"/>
      <c r="D341" s="246"/>
      <c r="E341" s="246"/>
      <c r="F341" s="32"/>
      <c r="G341" s="81"/>
      <c r="H341" s="104">
        <f ca="1">-H190/H200</f>
        <v>4.527605232022557</v>
      </c>
      <c r="I341" s="104">
        <f ca="1">-I190/I200</f>
        <v>2.6920019187881099</v>
      </c>
      <c r="J341" s="104">
        <f ca="1">-J190/J200</f>
        <v>3.2626650747920527</v>
      </c>
      <c r="K341" s="246"/>
      <c r="L341" s="246"/>
      <c r="M341" s="246"/>
      <c r="N341" s="246"/>
    </row>
    <row r="342" spans="1:14" x14ac:dyDescent="0.2">
      <c r="A342" s="399"/>
      <c r="B342" s="318" t="s">
        <v>236</v>
      </c>
      <c r="C342" s="246"/>
      <c r="D342" s="246"/>
      <c r="E342" s="246"/>
      <c r="F342" s="32"/>
      <c r="G342" s="32"/>
      <c r="H342" s="105">
        <f ca="1">+IF(H341&gt;$E$35,1,0)</f>
        <v>1</v>
      </c>
      <c r="I342" s="105">
        <f ca="1">+IF(I341&gt;$E$35,1,0)</f>
        <v>1</v>
      </c>
      <c r="J342" s="105">
        <f ca="1">+IF(J341&gt;$E$35,1,0)</f>
        <v>1</v>
      </c>
      <c r="K342" s="246"/>
      <c r="L342" s="246"/>
      <c r="M342" s="246"/>
      <c r="N342" s="246"/>
    </row>
    <row r="343" spans="1:14" x14ac:dyDescent="0.2">
      <c r="A343" s="399"/>
      <c r="B343" s="246"/>
      <c r="C343" s="246"/>
      <c r="D343" s="246"/>
      <c r="E343" s="246"/>
      <c r="F343" s="246"/>
      <c r="G343" s="246"/>
      <c r="H343" s="246"/>
      <c r="I343" s="246"/>
      <c r="J343" s="246"/>
      <c r="K343" s="246"/>
      <c r="L343" s="246"/>
      <c r="M343" s="246"/>
      <c r="N343" s="246"/>
    </row>
    <row r="344" spans="1:14" x14ac:dyDescent="0.2">
      <c r="A344" s="399"/>
      <c r="B344" s="72" t="s">
        <v>237</v>
      </c>
      <c r="C344" s="246"/>
      <c r="D344" s="246"/>
      <c r="E344" s="246"/>
      <c r="F344" s="32"/>
      <c r="G344" s="32"/>
      <c r="H344" s="32"/>
      <c r="I344" s="32"/>
      <c r="J344" s="32"/>
      <c r="K344" s="246"/>
      <c r="L344" s="246"/>
      <c r="M344" s="246"/>
      <c r="N344" s="246"/>
    </row>
    <row r="345" spans="1:14" x14ac:dyDescent="0.2">
      <c r="A345" s="399"/>
      <c r="B345" t="s">
        <v>216</v>
      </c>
      <c r="C345" s="246"/>
      <c r="D345" s="246"/>
      <c r="E345" s="246"/>
      <c r="F345" s="107">
        <v>0</v>
      </c>
      <c r="G345" s="107">
        <v>0</v>
      </c>
      <c r="H345" s="107">
        <v>0</v>
      </c>
      <c r="I345" s="88">
        <f t="shared" ref="I345:J345" si="41">+H347</f>
        <v>0</v>
      </c>
      <c r="J345" s="88">
        <f t="shared" ca="1" si="41"/>
        <v>1425.0457896644589</v>
      </c>
      <c r="K345" s="246"/>
      <c r="L345" s="246"/>
      <c r="M345" s="246"/>
      <c r="N345" s="246"/>
    </row>
    <row r="346" spans="1:14" x14ac:dyDescent="0.2">
      <c r="A346" s="399"/>
      <c r="B346" s="245" t="s">
        <v>238</v>
      </c>
      <c r="C346" s="329"/>
      <c r="D346" s="329"/>
      <c r="E346" s="329"/>
      <c r="F346" s="36">
        <v>0</v>
      </c>
      <c r="G346" s="36">
        <v>0</v>
      </c>
      <c r="H346" s="108">
        <f>+IF($E$36=H299,G334,0)</f>
        <v>0</v>
      </c>
      <c r="I346" s="108">
        <f ca="1">+IF($E$36=I299,H334,0)</f>
        <v>1425.0457896644589</v>
      </c>
      <c r="J346" s="108">
        <f>+IF($E$36=J299,I334,0)</f>
        <v>0</v>
      </c>
      <c r="K346" s="246"/>
      <c r="L346" s="246"/>
      <c r="M346" s="246"/>
      <c r="N346" s="246"/>
    </row>
    <row r="347" spans="1:14" x14ac:dyDescent="0.2">
      <c r="A347" s="399"/>
      <c r="B347" s="8" t="s">
        <v>217</v>
      </c>
      <c r="C347" s="122"/>
      <c r="D347" s="122"/>
      <c r="E347" s="122"/>
      <c r="F347" s="11">
        <f t="shared" ref="F347:J347" si="42">SUM(F345:F346)</f>
        <v>0</v>
      </c>
      <c r="G347" s="11">
        <f t="shared" si="42"/>
        <v>0</v>
      </c>
      <c r="H347" s="11">
        <f t="shared" si="42"/>
        <v>0</v>
      </c>
      <c r="I347" s="11">
        <f t="shared" ca="1" si="42"/>
        <v>1425.0457896644589</v>
      </c>
      <c r="J347" s="11">
        <f t="shared" ca="1" si="42"/>
        <v>1425.0457896644589</v>
      </c>
      <c r="K347" s="246"/>
      <c r="L347" s="246"/>
      <c r="M347" s="246"/>
      <c r="N347" s="246"/>
    </row>
    <row r="348" spans="1:14" x14ac:dyDescent="0.2">
      <c r="A348" s="399"/>
      <c r="B348" s="246"/>
      <c r="C348" s="246"/>
      <c r="D348" s="246"/>
      <c r="E348" s="246"/>
      <c r="F348" s="32"/>
      <c r="G348" s="32"/>
      <c r="H348" s="32"/>
      <c r="I348" s="32"/>
      <c r="J348" s="32"/>
      <c r="K348" s="246"/>
      <c r="L348" s="246"/>
      <c r="M348" s="246"/>
      <c r="N348" s="246"/>
    </row>
    <row r="349" spans="1:14" x14ac:dyDescent="0.2">
      <c r="A349" s="399"/>
      <c r="B349" t="s">
        <v>239</v>
      </c>
      <c r="C349" s="246"/>
      <c r="D349" s="246"/>
      <c r="E349" s="246"/>
      <c r="F349" s="25">
        <v>0</v>
      </c>
      <c r="G349" s="25">
        <v>0</v>
      </c>
      <c r="H349" s="116">
        <f>+$E$29</f>
        <v>8.5000000000000006E-2</v>
      </c>
      <c r="I349" s="116">
        <f>+$E$29</f>
        <v>8.5000000000000006E-2</v>
      </c>
      <c r="J349" s="116">
        <f>+$E$29</f>
        <v>8.5000000000000006E-2</v>
      </c>
      <c r="K349" s="246"/>
      <c r="L349" s="246"/>
      <c r="M349" s="246"/>
      <c r="N349" s="246"/>
    </row>
    <row r="350" spans="1:14" x14ac:dyDescent="0.2">
      <c r="A350" s="399"/>
      <c r="B350" t="s">
        <v>240</v>
      </c>
      <c r="C350" s="246"/>
      <c r="D350" s="246"/>
      <c r="E350" s="246"/>
      <c r="F350" s="25">
        <v>0</v>
      </c>
      <c r="G350" s="25">
        <v>0</v>
      </c>
      <c r="H350" s="46">
        <f>IF($J$23=1,AVERAGE(MAX(H345:H346),H347)*H349,0)</f>
        <v>0</v>
      </c>
      <c r="I350" s="46">
        <f t="shared" ref="I350:J350" ca="1" si="43">IF($J$23=1,AVERAGE(MAX(I345:I346),I347)*I349,0)</f>
        <v>121.12889212147901</v>
      </c>
      <c r="J350" s="46">
        <f t="shared" ca="1" si="43"/>
        <v>121.12889212147901</v>
      </c>
      <c r="K350" s="246"/>
      <c r="L350" s="246"/>
      <c r="M350" s="246"/>
      <c r="N350" s="246"/>
    </row>
    <row r="351" spans="1:14" x14ac:dyDescent="0.2">
      <c r="A351" s="399"/>
      <c r="B351" s="246"/>
      <c r="C351" s="246"/>
      <c r="D351" s="246"/>
      <c r="E351" s="246"/>
      <c r="F351" s="32"/>
      <c r="G351" s="32"/>
      <c r="H351" s="32"/>
      <c r="I351" s="32"/>
      <c r="J351" s="32"/>
      <c r="K351" s="246"/>
      <c r="L351" s="246"/>
      <c r="M351" s="246"/>
      <c r="N351" s="246"/>
    </row>
    <row r="352" spans="1:14" x14ac:dyDescent="0.2">
      <c r="A352" s="399"/>
      <c r="B352" t="s">
        <v>241</v>
      </c>
      <c r="C352" s="246"/>
      <c r="D352" s="246"/>
      <c r="E352" s="246"/>
      <c r="F352" s="60">
        <v>0</v>
      </c>
      <c r="G352" s="60">
        <v>0</v>
      </c>
      <c r="H352" s="46">
        <f>+IF($J$23=1,(MAX(H345:H346)*$J$22)/$J$21,0)</f>
        <v>0</v>
      </c>
      <c r="I352" s="46">
        <f ca="1">+IF($J$23=1,(MAX(I345:I346)*$J$22)/$J$21,0)</f>
        <v>3.5626144741611472</v>
      </c>
      <c r="J352" s="46">
        <f ca="1">+IF($J$23=1,(MAX(J345:J346)*$J$22)/$J$21,0)</f>
        <v>3.5626144741611472</v>
      </c>
      <c r="K352" s="246"/>
      <c r="L352" s="246"/>
      <c r="M352" s="246"/>
      <c r="N352" s="246"/>
    </row>
    <row r="353" spans="1:14" x14ac:dyDescent="0.2">
      <c r="A353" s="399"/>
      <c r="B353" s="246"/>
      <c r="C353" s="246"/>
      <c r="D353" s="246"/>
      <c r="E353" s="246"/>
      <c r="F353" s="32"/>
      <c r="G353" s="32"/>
      <c r="H353" s="32"/>
      <c r="I353" s="32"/>
      <c r="J353" s="32"/>
      <c r="K353" s="246"/>
      <c r="L353" s="246"/>
      <c r="M353" s="246"/>
      <c r="N353" s="246"/>
    </row>
    <row r="354" spans="1:14" x14ac:dyDescent="0.2">
      <c r="A354" s="318" t="s">
        <v>310</v>
      </c>
      <c r="B354" s="416" t="s">
        <v>242</v>
      </c>
      <c r="C354" s="419"/>
      <c r="D354" s="419"/>
      <c r="E354" s="419"/>
      <c r="F354" s="420"/>
      <c r="G354" s="420"/>
      <c r="H354" s="420"/>
      <c r="I354" s="420"/>
      <c r="J354" s="420"/>
      <c r="K354" s="246"/>
      <c r="L354" s="246"/>
      <c r="M354" s="246"/>
      <c r="N354" s="246"/>
    </row>
    <row r="355" spans="1:14" x14ac:dyDescent="0.2">
      <c r="A355" s="399"/>
      <c r="B355" s="379"/>
      <c r="C355" s="379"/>
      <c r="D355" s="379"/>
      <c r="E355" s="379"/>
      <c r="F355" s="82"/>
      <c r="G355" s="82"/>
      <c r="H355" s="82"/>
      <c r="I355" s="82"/>
      <c r="J355" s="82"/>
      <c r="K355" s="246"/>
      <c r="L355" s="246"/>
      <c r="M355" s="246"/>
      <c r="N355" s="246"/>
    </row>
    <row r="356" spans="1:14" x14ac:dyDescent="0.2">
      <c r="A356" s="399"/>
      <c r="B356" s="93" t="s">
        <v>243</v>
      </c>
      <c r="C356" s="401"/>
      <c r="D356" s="401"/>
      <c r="E356" s="246"/>
      <c r="F356" s="93" t="s">
        <v>244</v>
      </c>
      <c r="G356" s="398"/>
      <c r="H356" s="398"/>
      <c r="I356" s="398"/>
      <c r="J356" s="398"/>
      <c r="K356" s="246"/>
      <c r="L356" s="246"/>
      <c r="M356" s="246"/>
      <c r="N356" s="246"/>
    </row>
    <row r="357" spans="1:14" x14ac:dyDescent="0.2">
      <c r="A357" s="399"/>
      <c r="B357" s="1" t="s">
        <v>245</v>
      </c>
      <c r="C357" s="381"/>
      <c r="D357" s="27" t="s">
        <v>246</v>
      </c>
      <c r="E357" s="246"/>
      <c r="F357" t="s">
        <v>247</v>
      </c>
      <c r="G357" s="82"/>
      <c r="H357" s="82"/>
      <c r="I357" s="82"/>
      <c r="J357" s="246">
        <f>+E45/J364</f>
        <v>2680.8375000000005</v>
      </c>
      <c r="K357" s="246"/>
      <c r="L357" s="246"/>
      <c r="M357" s="246"/>
      <c r="N357" s="246"/>
    </row>
    <row r="358" spans="1:14" x14ac:dyDescent="0.2">
      <c r="A358" s="399"/>
      <c r="B358" s="321" t="s">
        <v>248</v>
      </c>
      <c r="C358" s="246"/>
      <c r="D358" s="278">
        <v>1</v>
      </c>
      <c r="E358" s="246"/>
      <c r="F358" t="s">
        <v>249</v>
      </c>
      <c r="G358" s="82"/>
      <c r="H358" s="82"/>
      <c r="I358" s="82"/>
      <c r="J358" s="33">
        <v>0</v>
      </c>
      <c r="K358" s="246"/>
      <c r="L358" s="246"/>
      <c r="M358" s="246"/>
      <c r="N358" s="246"/>
    </row>
    <row r="359" spans="1:14" x14ac:dyDescent="0.2">
      <c r="A359" s="399"/>
      <c r="B359" s="245" t="s">
        <v>250</v>
      </c>
      <c r="C359" s="329"/>
      <c r="D359" s="110">
        <v>0</v>
      </c>
      <c r="E359" s="246"/>
      <c r="F359" s="245" t="s">
        <v>251</v>
      </c>
      <c r="G359" s="47"/>
      <c r="H359" s="47"/>
      <c r="I359" s="47"/>
      <c r="J359" s="37">
        <v>0</v>
      </c>
      <c r="K359" s="246"/>
      <c r="L359" s="246"/>
      <c r="M359" s="246"/>
      <c r="N359" s="246"/>
    </row>
    <row r="360" spans="1:14" x14ac:dyDescent="0.2">
      <c r="A360" s="399"/>
      <c r="B360" s="8" t="s">
        <v>64</v>
      </c>
      <c r="C360" s="122"/>
      <c r="D360" s="112">
        <f>+SUM(D358:D359)</f>
        <v>1</v>
      </c>
      <c r="E360" s="246"/>
      <c r="F360" s="8" t="s">
        <v>252</v>
      </c>
      <c r="G360" s="32"/>
      <c r="H360" s="32"/>
      <c r="I360" s="32"/>
      <c r="J360" s="9">
        <f>+SUM(J357:J359)</f>
        <v>2680.8375000000005</v>
      </c>
      <c r="K360" s="246"/>
      <c r="L360" s="246"/>
      <c r="M360" s="246"/>
      <c r="N360" s="246"/>
    </row>
    <row r="361" spans="1:14" x14ac:dyDescent="0.2">
      <c r="A361" s="399"/>
      <c r="B361" t="s">
        <v>253</v>
      </c>
      <c r="C361" s="246"/>
      <c r="D361" s="113">
        <v>0.05</v>
      </c>
      <c r="E361" s="246"/>
      <c r="F361" s="32"/>
      <c r="G361" s="32"/>
      <c r="H361" s="32"/>
      <c r="I361" s="32"/>
      <c r="J361" s="32"/>
      <c r="K361" s="246"/>
      <c r="L361" s="246"/>
      <c r="M361" s="246"/>
      <c r="N361" s="246"/>
    </row>
    <row r="362" spans="1:14" x14ac:dyDescent="0.2">
      <c r="A362" s="399"/>
      <c r="B362" s="246"/>
      <c r="C362" s="246"/>
      <c r="D362" s="402"/>
      <c r="E362" s="246"/>
      <c r="F362" s="32"/>
      <c r="G362" s="32"/>
      <c r="H362" s="32"/>
      <c r="I362" s="32"/>
      <c r="J362" s="32"/>
      <c r="K362" s="246"/>
      <c r="L362" s="246"/>
      <c r="M362" s="246"/>
      <c r="N362" s="246"/>
    </row>
    <row r="363" spans="1:14" x14ac:dyDescent="0.2">
      <c r="A363" s="399"/>
      <c r="B363" s="12" t="s">
        <v>254</v>
      </c>
      <c r="C363" s="329"/>
      <c r="D363" s="13" t="s">
        <v>246</v>
      </c>
      <c r="E363" s="246"/>
      <c r="F363" s="93" t="s">
        <v>255</v>
      </c>
      <c r="G363" s="401"/>
      <c r="H363" s="401"/>
      <c r="I363" s="401"/>
      <c r="J363" s="401"/>
      <c r="K363" s="246"/>
      <c r="L363" s="246"/>
      <c r="M363" s="246"/>
      <c r="N363" s="246"/>
    </row>
    <row r="364" spans="1:14" x14ac:dyDescent="0.2">
      <c r="A364" s="399"/>
      <c r="B364" s="114" t="s">
        <v>248</v>
      </c>
      <c r="C364" s="32"/>
      <c r="D364" s="116">
        <f>+SUM(D358/SUM($D$360:$D$361))</f>
        <v>0.95238095238095233</v>
      </c>
      <c r="E364" s="246"/>
      <c r="F364" t="s">
        <v>256</v>
      </c>
      <c r="G364" s="246"/>
      <c r="H364" s="246"/>
      <c r="I364" s="246"/>
      <c r="J364" s="117">
        <v>1</v>
      </c>
      <c r="K364" s="246"/>
      <c r="L364" s="246"/>
      <c r="M364" s="246"/>
      <c r="N364" s="246"/>
    </row>
    <row r="365" spans="1:14" x14ac:dyDescent="0.2">
      <c r="A365" s="399"/>
      <c r="B365" s="118" t="s">
        <v>253</v>
      </c>
      <c r="C365" s="47"/>
      <c r="D365" s="119">
        <f>+D361/SUM($D$360:$D$361)</f>
        <v>4.7619047619047616E-2</v>
      </c>
      <c r="E365" s="246"/>
      <c r="F365" t="s">
        <v>257</v>
      </c>
      <c r="G365" s="246"/>
      <c r="H365" s="246"/>
      <c r="I365" s="246"/>
      <c r="J365" s="25">
        <v>8.5000000000000006E-2</v>
      </c>
      <c r="K365" s="246"/>
      <c r="L365" s="246"/>
      <c r="M365" s="246"/>
      <c r="N365" s="246"/>
    </row>
    <row r="366" spans="1:14" x14ac:dyDescent="0.2">
      <c r="A366" s="399"/>
      <c r="B366" s="120" t="s">
        <v>64</v>
      </c>
      <c r="C366" s="9"/>
      <c r="D366" s="121">
        <f>+SUM(D364:D365)</f>
        <v>1</v>
      </c>
      <c r="E366" s="246"/>
      <c r="F366" t="s">
        <v>258</v>
      </c>
      <c r="G366" s="246"/>
      <c r="H366" s="246"/>
      <c r="I366" s="246"/>
      <c r="J366" s="246">
        <f>+E46</f>
        <v>475</v>
      </c>
      <c r="K366" s="246"/>
      <c r="L366" s="246"/>
      <c r="M366" s="246"/>
      <c r="N366" s="246"/>
    </row>
    <row r="367" spans="1:14" x14ac:dyDescent="0.2">
      <c r="A367" s="399"/>
      <c r="B367" s="246"/>
      <c r="C367" s="246"/>
      <c r="D367" s="246"/>
      <c r="E367" s="246"/>
      <c r="F367" t="s">
        <v>259</v>
      </c>
      <c r="G367" s="246"/>
      <c r="H367" s="246"/>
      <c r="I367" s="246"/>
      <c r="J367" s="246">
        <f>+J366/J369</f>
        <v>380</v>
      </c>
      <c r="K367" s="246"/>
      <c r="L367" s="246"/>
      <c r="M367" s="246"/>
      <c r="N367" s="246"/>
    </row>
    <row r="368" spans="1:14" x14ac:dyDescent="0.2">
      <c r="A368" s="399"/>
      <c r="B368" s="246"/>
      <c r="C368" s="246"/>
      <c r="D368" s="246"/>
      <c r="E368" s="246"/>
      <c r="F368" t="s">
        <v>260</v>
      </c>
      <c r="G368" s="246"/>
      <c r="H368" s="246"/>
      <c r="I368" s="246"/>
      <c r="J368" s="278">
        <f>+J366/E47</f>
        <v>0.15051472073577932</v>
      </c>
      <c r="K368" s="246"/>
      <c r="L368" s="246"/>
      <c r="M368" s="246"/>
      <c r="N368" s="246"/>
    </row>
    <row r="369" spans="1:14" x14ac:dyDescent="0.2">
      <c r="A369" s="399"/>
      <c r="B369" s="246"/>
      <c r="C369" s="246"/>
      <c r="D369" s="246"/>
      <c r="E369" s="246"/>
      <c r="F369" t="s">
        <v>261</v>
      </c>
      <c r="G369" s="246"/>
      <c r="H369" s="246"/>
      <c r="I369" s="246"/>
      <c r="J369" s="117">
        <v>1.25</v>
      </c>
      <c r="K369" s="246"/>
      <c r="L369" s="246"/>
      <c r="M369" s="246"/>
      <c r="N369" s="246"/>
    </row>
    <row r="370" spans="1:14" x14ac:dyDescent="0.2">
      <c r="A370" s="399"/>
      <c r="B370" s="246"/>
      <c r="C370" s="246"/>
      <c r="D370" s="246"/>
      <c r="E370" s="246"/>
      <c r="F370" t="s">
        <v>262</v>
      </c>
      <c r="G370" s="246"/>
      <c r="H370" s="246"/>
      <c r="I370" s="246"/>
      <c r="J370" s="46">
        <f>+E12*D365</f>
        <v>227.11904761904762</v>
      </c>
      <c r="K370" s="246"/>
      <c r="L370" s="246"/>
      <c r="M370" s="246"/>
      <c r="N370" s="246"/>
    </row>
    <row r="371" spans="1:14" x14ac:dyDescent="0.2">
      <c r="A371" s="399"/>
      <c r="B371" s="246"/>
      <c r="C371" s="246"/>
      <c r="D371" s="246"/>
      <c r="E371" s="246"/>
      <c r="F371" t="s">
        <v>263</v>
      </c>
      <c r="G371" s="246"/>
      <c r="H371" s="246"/>
      <c r="I371" s="246"/>
      <c r="J371" s="117">
        <v>1</v>
      </c>
      <c r="K371" s="246"/>
      <c r="L371" s="246"/>
      <c r="M371" s="246"/>
      <c r="N371" s="246"/>
    </row>
    <row r="372" spans="1:14" x14ac:dyDescent="0.2">
      <c r="A372" s="399"/>
      <c r="B372" s="246"/>
      <c r="C372" s="246"/>
      <c r="D372" s="246"/>
      <c r="E372" s="246"/>
      <c r="F372" t="s">
        <v>264</v>
      </c>
      <c r="G372" s="246"/>
      <c r="H372" s="246"/>
      <c r="I372" s="246"/>
      <c r="J372" s="32">
        <f>+J370/J371</f>
        <v>227.11904761904762</v>
      </c>
      <c r="K372" s="246"/>
      <c r="L372" s="246"/>
      <c r="M372" s="246"/>
      <c r="N372" s="246"/>
    </row>
    <row r="373" spans="1:14" x14ac:dyDescent="0.2">
      <c r="A373" s="399"/>
      <c r="B373" s="246"/>
      <c r="C373" s="246"/>
      <c r="D373" s="246"/>
      <c r="E373" s="246"/>
      <c r="F373" s="32"/>
      <c r="G373" s="246"/>
      <c r="H373" s="246"/>
      <c r="I373" s="246"/>
      <c r="J373" s="33"/>
      <c r="K373" s="246"/>
      <c r="L373" s="246"/>
      <c r="M373" s="246"/>
      <c r="N373" s="246"/>
    </row>
    <row r="374" spans="1:14" x14ac:dyDescent="0.2">
      <c r="A374" s="399"/>
      <c r="B374" s="93" t="s">
        <v>5</v>
      </c>
      <c r="C374" s="398"/>
      <c r="D374" s="398"/>
      <c r="E374" s="398"/>
      <c r="F374" s="65">
        <v>2021</v>
      </c>
      <c r="G374" s="65">
        <f>+F374+1</f>
        <v>2022</v>
      </c>
      <c r="H374" s="65">
        <f>+G374+1</f>
        <v>2023</v>
      </c>
      <c r="I374" s="65">
        <f>+H374+1</f>
        <v>2024</v>
      </c>
      <c r="J374" s="65">
        <f>+I374+1</f>
        <v>2025</v>
      </c>
      <c r="K374" s="246"/>
      <c r="L374" s="246"/>
      <c r="M374" s="246"/>
      <c r="N374" s="246"/>
    </row>
    <row r="375" spans="1:14" x14ac:dyDescent="0.2">
      <c r="A375" s="399"/>
      <c r="B375" t="s">
        <v>247</v>
      </c>
      <c r="C375" s="246"/>
      <c r="D375" s="246"/>
      <c r="E375" s="246"/>
      <c r="F375" s="246">
        <f>+J357</f>
        <v>2680.8375000000005</v>
      </c>
      <c r="G375" s="246">
        <f t="shared" ref="G375:J375" si="44">+F375</f>
        <v>2680.8375000000005</v>
      </c>
      <c r="H375" s="246">
        <f t="shared" si="44"/>
        <v>2680.8375000000005</v>
      </c>
      <c r="I375" s="246">
        <f t="shared" si="44"/>
        <v>2680.8375000000005</v>
      </c>
      <c r="J375" s="246">
        <f t="shared" si="44"/>
        <v>2680.8375000000005</v>
      </c>
      <c r="K375" s="246"/>
      <c r="L375" s="246"/>
      <c r="M375" s="246"/>
      <c r="N375" s="246"/>
    </row>
    <row r="376" spans="1:14" x14ac:dyDescent="0.2">
      <c r="A376" s="399"/>
      <c r="B376" t="s">
        <v>249</v>
      </c>
      <c r="C376" s="246"/>
      <c r="D376" s="246"/>
      <c r="E376" s="246"/>
      <c r="F376" s="317">
        <f ca="1">+IF(F394&gt;F393,$J$367,0)</f>
        <v>0</v>
      </c>
      <c r="G376" s="317">
        <f ca="1">+IF(G394&gt;G393,$J$367,0)</f>
        <v>380</v>
      </c>
      <c r="H376" s="317">
        <f ca="1">+IF(H394&gt;H393,$J$367,0)</f>
        <v>380</v>
      </c>
      <c r="I376" s="317">
        <f ca="1">+IF(I394&gt;I393,$J$367,0)</f>
        <v>380</v>
      </c>
      <c r="J376" s="317">
        <f ca="1">+IF(J394&gt;J393,$J$367,0)</f>
        <v>380</v>
      </c>
      <c r="K376" s="246"/>
      <c r="L376" s="246"/>
      <c r="M376" s="246"/>
      <c r="N376" s="246"/>
    </row>
    <row r="377" spans="1:14" x14ac:dyDescent="0.2">
      <c r="A377" s="399"/>
      <c r="B377" s="245" t="s">
        <v>265</v>
      </c>
      <c r="C377" s="329"/>
      <c r="D377" s="329"/>
      <c r="E377" s="329"/>
      <c r="F377" s="329">
        <f ca="1">+IF(F380&gt;$J$371,$J$372-($J$371*$J$372)/F380,0)</f>
        <v>33.785788607301498</v>
      </c>
      <c r="G377" s="329">
        <f t="shared" ref="G377:J377" ca="1" si="45">+IF(G380&gt;$J$371,$J$372-($J$371*$J$372)/G380,0)</f>
        <v>78.385456739247502</v>
      </c>
      <c r="H377" s="329">
        <f t="shared" ca="1" si="45"/>
        <v>108.30278360515413</v>
      </c>
      <c r="I377" s="329">
        <f t="shared" ca="1" si="45"/>
        <v>107.22453895012335</v>
      </c>
      <c r="J377" s="329">
        <f t="shared" ca="1" si="45"/>
        <v>131.53015663826113</v>
      </c>
      <c r="K377" s="246"/>
      <c r="L377" s="246"/>
      <c r="M377" s="246"/>
      <c r="N377" s="246"/>
    </row>
    <row r="378" spans="1:14" x14ac:dyDescent="0.2">
      <c r="A378" s="399"/>
      <c r="B378" s="8" t="s">
        <v>266</v>
      </c>
      <c r="C378" s="122"/>
      <c r="D378" s="246"/>
      <c r="E378" s="246"/>
      <c r="F378" s="122">
        <f ca="1">+IF($J$23=1,SUM(F375:F377),0)</f>
        <v>2714.6232886073021</v>
      </c>
      <c r="G378" s="122">
        <f ca="1">+IF($J$23=1,SUM(G375:G377),0)</f>
        <v>3139.2229567392478</v>
      </c>
      <c r="H378" s="122">
        <f ca="1">+IF($J$23=1,SUM(H375:H377),0)</f>
        <v>3169.1402836051548</v>
      </c>
      <c r="I378" s="122">
        <f ca="1">+IF($J$23=1,SUM(I375:I377),0)</f>
        <v>3168.0620389501237</v>
      </c>
      <c r="J378" s="122">
        <f ca="1">+IF($J$23=1,SUM(J375:J377),0)</f>
        <v>3192.3676566382619</v>
      </c>
      <c r="K378" s="246"/>
      <c r="L378" s="246"/>
      <c r="M378" s="246"/>
      <c r="N378" s="246"/>
    </row>
    <row r="379" spans="1:14" x14ac:dyDescent="0.2">
      <c r="A379" s="399"/>
      <c r="B379" s="122"/>
      <c r="C379" s="122"/>
      <c r="D379" s="246"/>
      <c r="E379" s="246"/>
      <c r="F379" s="122"/>
      <c r="G379" s="122"/>
      <c r="H379" s="122"/>
      <c r="I379" s="122"/>
      <c r="J379" s="122"/>
      <c r="K379" s="246"/>
      <c r="L379" s="246"/>
      <c r="M379" s="246"/>
      <c r="N379" s="246"/>
    </row>
    <row r="380" spans="1:14" x14ac:dyDescent="0.2">
      <c r="A380" s="399"/>
      <c r="B380" s="96" t="s">
        <v>267</v>
      </c>
      <c r="C380" s="381"/>
      <c r="D380" s="381"/>
      <c r="E380" s="381"/>
      <c r="F380" s="124">
        <f ca="1">IF($J$23=1,IF(F394&gt;F393,F390/F378,(F390-F393)/F378),0)</f>
        <v>1.1747537432451722</v>
      </c>
      <c r="G380" s="124">
        <f ca="1">IF($J$23=1,IF(G394&gt;G393,G390/G378,(G390-G393)/G378),0)</f>
        <v>1.5270190062462319</v>
      </c>
      <c r="H380" s="124">
        <f ca="1">IF($J$23=1,IF(H394&gt;H393,H390/H378,(H390-H393)/H378),0)</f>
        <v>1.9115146664826277</v>
      </c>
      <c r="I380" s="124">
        <f ca="1">IF($J$23=1,IF(I394&gt;I393,I390/I378,(I390-I393)/I378),0)</f>
        <v>1.8943239170226287</v>
      </c>
      <c r="J380" s="125">
        <f ca="1">IF($J$23=1,IF(J394&gt;J393,J390/J378,(J390-J393)/J378),0)</f>
        <v>2.375997922140288</v>
      </c>
      <c r="K380" s="246"/>
      <c r="L380" s="246"/>
      <c r="M380" s="246"/>
      <c r="N380" s="246"/>
    </row>
    <row r="381" spans="1:14" x14ac:dyDescent="0.2">
      <c r="A381" s="399"/>
      <c r="B381" s="246"/>
      <c r="C381" s="246"/>
      <c r="D381" s="246"/>
      <c r="E381" s="246"/>
      <c r="F381" s="32"/>
      <c r="G381" s="32"/>
      <c r="H381" s="32"/>
      <c r="I381" s="32"/>
      <c r="J381" s="32"/>
      <c r="K381" s="246"/>
      <c r="L381" s="246"/>
      <c r="M381" s="246"/>
      <c r="N381" s="246"/>
    </row>
    <row r="382" spans="1:14" x14ac:dyDescent="0.2">
      <c r="A382" s="318" t="s">
        <v>310</v>
      </c>
      <c r="B382" s="416" t="s">
        <v>268</v>
      </c>
      <c r="C382" s="417"/>
      <c r="D382" s="417"/>
      <c r="E382" s="417"/>
      <c r="F382" s="417"/>
      <c r="G382" s="417"/>
      <c r="H382" s="417"/>
      <c r="I382" s="417"/>
      <c r="J382" s="417"/>
      <c r="K382" s="246"/>
      <c r="L382" s="246"/>
      <c r="M382" s="246"/>
      <c r="N382" s="246"/>
    </row>
    <row r="383" spans="1:14" x14ac:dyDescent="0.2">
      <c r="A383" s="399"/>
      <c r="B383" s="246"/>
      <c r="C383" s="246"/>
      <c r="D383" s="246"/>
      <c r="E383" s="246"/>
      <c r="F383" s="246"/>
      <c r="G383" s="246"/>
      <c r="H383" s="246"/>
      <c r="I383" s="246"/>
      <c r="J383" s="246"/>
      <c r="K383" s="246"/>
      <c r="L383" s="246"/>
      <c r="M383" s="246"/>
      <c r="N383" s="246"/>
    </row>
    <row r="384" spans="1:14" x14ac:dyDescent="0.2">
      <c r="A384" s="399"/>
      <c r="B384" s="3" t="s">
        <v>269</v>
      </c>
      <c r="C384" s="375"/>
      <c r="D384" s="375"/>
      <c r="E384" s="375"/>
      <c r="F384" s="65">
        <v>2021</v>
      </c>
      <c r="G384" s="65">
        <f>+F384+1</f>
        <v>2022</v>
      </c>
      <c r="H384" s="65">
        <f>+G384+1</f>
        <v>2023</v>
      </c>
      <c r="I384" s="65">
        <f>+H384+1</f>
        <v>2024</v>
      </c>
      <c r="J384" s="65">
        <f>+I384+1</f>
        <v>2025</v>
      </c>
      <c r="K384" s="246"/>
      <c r="L384" s="246"/>
      <c r="M384" s="246"/>
      <c r="N384" s="246"/>
    </row>
    <row r="385" spans="1:14" x14ac:dyDescent="0.2">
      <c r="A385" s="399"/>
      <c r="B385" s="246"/>
      <c r="C385" s="246"/>
      <c r="D385" s="246"/>
      <c r="E385" s="246"/>
      <c r="F385" s="246"/>
      <c r="G385" s="246"/>
      <c r="H385" s="246"/>
      <c r="I385" s="246"/>
      <c r="J385" s="246"/>
      <c r="K385" s="246"/>
      <c r="L385" s="246"/>
      <c r="M385" s="246"/>
      <c r="N385" s="246"/>
    </row>
    <row r="386" spans="1:14" x14ac:dyDescent="0.2">
      <c r="A386" s="399"/>
      <c r="B386" s="8" t="s">
        <v>270</v>
      </c>
      <c r="C386" s="122"/>
      <c r="D386" s="122"/>
      <c r="E386" s="122"/>
      <c r="F386" s="11">
        <f ca="1">+F190</f>
        <v>412.65706168831173</v>
      </c>
      <c r="G386" s="11">
        <f ca="1">+G190</f>
        <v>473.18842461885924</v>
      </c>
      <c r="H386" s="11">
        <f ca="1">+H190</f>
        <v>542.095569716201</v>
      </c>
      <c r="I386" s="11">
        <f ca="1">+I190</f>
        <v>620.16467964282776</v>
      </c>
      <c r="J386" s="11">
        <f ca="1">+J190</f>
        <v>708.21133743295911</v>
      </c>
      <c r="K386" s="246"/>
      <c r="L386" s="246"/>
      <c r="M386" s="246"/>
      <c r="N386" s="246"/>
    </row>
    <row r="387" spans="1:14" x14ac:dyDescent="0.2">
      <c r="A387" s="399"/>
      <c r="B387" s="245" t="s">
        <v>271</v>
      </c>
      <c r="C387" s="329"/>
      <c r="D387" s="329"/>
      <c r="E387" s="329"/>
      <c r="F387" s="127">
        <v>14.5</v>
      </c>
      <c r="G387" s="349">
        <f>+F387</f>
        <v>14.5</v>
      </c>
      <c r="H387" s="349">
        <f>+G387</f>
        <v>14.5</v>
      </c>
      <c r="I387" s="349">
        <f>+H387</f>
        <v>14.5</v>
      </c>
      <c r="J387" s="349">
        <f>+I387</f>
        <v>14.5</v>
      </c>
      <c r="K387" s="246"/>
      <c r="L387" s="246"/>
      <c r="M387" s="246"/>
      <c r="N387" s="246"/>
    </row>
    <row r="388" spans="1:14" x14ac:dyDescent="0.2">
      <c r="A388" s="399"/>
      <c r="B388" s="8" t="s">
        <v>272</v>
      </c>
      <c r="C388" s="122"/>
      <c r="D388" s="122"/>
      <c r="E388" s="122"/>
      <c r="F388" s="11">
        <f ca="1">+F386*F387</f>
        <v>5983.5273944805203</v>
      </c>
      <c r="G388" s="11">
        <f t="shared" ref="G388:J388" ca="1" si="46">+G386*G387</f>
        <v>6861.2321569734595</v>
      </c>
      <c r="H388" s="11">
        <f t="shared" ca="1" si="46"/>
        <v>7860.3857608849148</v>
      </c>
      <c r="I388" s="11">
        <f t="shared" ca="1" si="46"/>
        <v>8992.3878548210032</v>
      </c>
      <c r="J388" s="11">
        <f t="shared" ca="1" si="46"/>
        <v>10269.064392777907</v>
      </c>
      <c r="K388" s="246"/>
      <c r="L388" s="246"/>
      <c r="M388" s="246"/>
      <c r="N388" s="246"/>
    </row>
    <row r="389" spans="1:14" x14ac:dyDescent="0.2">
      <c r="A389" s="399"/>
      <c r="B389" s="245" t="s">
        <v>273</v>
      </c>
      <c r="C389" s="329"/>
      <c r="D389" s="329"/>
      <c r="E389" s="329"/>
      <c r="F389" s="47">
        <f ca="1">-SUM(F308,F326,F347)+F225</f>
        <v>-2279.1385246885725</v>
      </c>
      <c r="G389" s="47">
        <f ca="1">-SUM(G308,G326,G347)+G225</f>
        <v>-2067.5790371881353</v>
      </c>
      <c r="H389" s="47">
        <f ca="1">-SUM(H308,H326,H347)+H225</f>
        <v>-1802.5276286327471</v>
      </c>
      <c r="I389" s="47">
        <f ca="1">-SUM(I308,I326,I347)+I225</f>
        <v>-2991.0521638263094</v>
      </c>
      <c r="J389" s="47">
        <f ca="1">-SUM(J308,J326,J347)+J225</f>
        <v>-2684.0054738975355</v>
      </c>
      <c r="K389" s="246"/>
      <c r="L389" s="246"/>
      <c r="M389" s="246"/>
      <c r="N389" s="246"/>
    </row>
    <row r="390" spans="1:14" x14ac:dyDescent="0.2">
      <c r="A390" s="399"/>
      <c r="B390" s="8" t="s">
        <v>274</v>
      </c>
      <c r="C390" s="122"/>
      <c r="D390" s="122"/>
      <c r="E390" s="122"/>
      <c r="F390" s="11">
        <f ca="1">+SUM(F388:F389)</f>
        <v>3704.3888697919479</v>
      </c>
      <c r="G390" s="11">
        <f ca="1">+SUM(G388:G389)</f>
        <v>4793.6531197853237</v>
      </c>
      <c r="H390" s="11">
        <f ca="1">+SUM(H388:H389)</f>
        <v>6057.8581322521677</v>
      </c>
      <c r="I390" s="11">
        <f ca="1">+SUM(I388:I389)</f>
        <v>6001.3356909946942</v>
      </c>
      <c r="J390" s="11">
        <f ca="1">+SUM(J388:J389)</f>
        <v>7585.0589188803715</v>
      </c>
      <c r="K390" s="246"/>
      <c r="L390" s="246"/>
      <c r="M390" s="246"/>
      <c r="N390" s="246"/>
    </row>
    <row r="391" spans="1:14" x14ac:dyDescent="0.2">
      <c r="A391" s="399"/>
      <c r="B391" s="122"/>
      <c r="C391" s="122"/>
      <c r="D391" s="122"/>
      <c r="E391" s="122"/>
      <c r="F391" s="9"/>
      <c r="G391" s="9"/>
      <c r="H391" s="9"/>
      <c r="I391" s="9"/>
      <c r="J391" s="9"/>
      <c r="K391" s="246"/>
      <c r="L391" s="246"/>
      <c r="M391" s="246"/>
      <c r="N391" s="246"/>
    </row>
    <row r="392" spans="1:14" x14ac:dyDescent="0.2">
      <c r="A392" s="399"/>
      <c r="B392" s="12" t="s">
        <v>275</v>
      </c>
      <c r="C392" s="329"/>
      <c r="D392" s="329"/>
      <c r="E392" s="329"/>
      <c r="F392" s="47"/>
      <c r="G392" s="47"/>
      <c r="H392" s="47"/>
      <c r="I392" s="47"/>
      <c r="J392" s="47"/>
      <c r="K392" s="246"/>
      <c r="L392" s="246"/>
      <c r="M392" s="246"/>
      <c r="N392" s="246"/>
    </row>
    <row r="393" spans="1:14" x14ac:dyDescent="0.2">
      <c r="A393" s="399"/>
      <c r="B393" t="s">
        <v>276</v>
      </c>
      <c r="C393" s="246"/>
      <c r="D393" s="246"/>
      <c r="E393" s="246"/>
      <c r="F393" s="88">
        <f>+$J366*(1+$J$365)</f>
        <v>515.375</v>
      </c>
      <c r="G393" s="88">
        <f>+F393*(1+$J$365)</f>
        <v>559.18187499999999</v>
      </c>
      <c r="H393" s="88">
        <f t="shared" ref="H393:J393" si="47">+G393*(1+$J$365)</f>
        <v>606.71233437499995</v>
      </c>
      <c r="I393" s="88">
        <f>+H393*(1+$J$365)</f>
        <v>658.2828827968749</v>
      </c>
      <c r="J393" s="88">
        <f t="shared" si="47"/>
        <v>714.23692783460922</v>
      </c>
      <c r="K393" s="246"/>
      <c r="L393" s="246"/>
      <c r="M393" s="246"/>
      <c r="N393" s="246"/>
    </row>
    <row r="394" spans="1:14" x14ac:dyDescent="0.2">
      <c r="A394" s="399"/>
      <c r="B394" t="s">
        <v>277</v>
      </c>
      <c r="C394" s="246"/>
      <c r="D394" s="246"/>
      <c r="E394" s="246"/>
      <c r="F394" s="88">
        <f ca="1">+F380*$J$367</f>
        <v>446.40642243316546</v>
      </c>
      <c r="G394" s="88">
        <f ca="1">+G380*$J$367</f>
        <v>580.26722237356807</v>
      </c>
      <c r="H394" s="88">
        <f ca="1">+H380*$J$367</f>
        <v>726.37557326339856</v>
      </c>
      <c r="I394" s="88">
        <f ca="1">+I380*$J$367</f>
        <v>719.84308846859892</v>
      </c>
      <c r="J394" s="88">
        <f ca="1">+J380*$J$367</f>
        <v>902.87921041330947</v>
      </c>
      <c r="K394" s="246"/>
      <c r="L394" s="246"/>
      <c r="M394" s="246"/>
      <c r="N394" s="246"/>
    </row>
    <row r="395" spans="1:14" x14ac:dyDescent="0.2">
      <c r="A395" s="399"/>
      <c r="B395" s="246"/>
      <c r="C395" s="246"/>
      <c r="D395" s="246"/>
      <c r="E395" s="246"/>
      <c r="F395" s="317"/>
      <c r="G395" s="317"/>
      <c r="H395" s="317"/>
      <c r="I395" s="317"/>
      <c r="J395" s="317"/>
      <c r="K395" s="246"/>
      <c r="L395" s="246"/>
      <c r="M395" s="246"/>
      <c r="N395" s="246"/>
    </row>
    <row r="396" spans="1:14" x14ac:dyDescent="0.2">
      <c r="A396" s="399"/>
      <c r="B396" t="s">
        <v>278</v>
      </c>
      <c r="C396" s="246"/>
      <c r="D396" s="306" t="s">
        <v>279</v>
      </c>
      <c r="E396" s="350">
        <f>+E36</f>
        <v>2024</v>
      </c>
      <c r="F396" s="46">
        <f ca="1">+MAX(F393,F394)</f>
        <v>515.375</v>
      </c>
      <c r="G396" s="46">
        <f ca="1">+MAX(G393,G394)</f>
        <v>580.26722237356807</v>
      </c>
      <c r="H396" s="46">
        <f ca="1">+MAX(H393,H394)</f>
        <v>726.37557326339856</v>
      </c>
      <c r="I396" s="46">
        <f ca="1">+MAX(I393,I394)</f>
        <v>719.84308846859892</v>
      </c>
      <c r="J396" s="46">
        <f ca="1">+MAX(J393,J394)</f>
        <v>902.87921041330947</v>
      </c>
      <c r="K396" s="246"/>
      <c r="L396" s="246"/>
      <c r="M396" s="246"/>
      <c r="N396" s="246"/>
    </row>
    <row r="397" spans="1:14" x14ac:dyDescent="0.2">
      <c r="A397" s="399"/>
      <c r="B397" t="s">
        <v>280</v>
      </c>
      <c r="C397" s="246"/>
      <c r="D397" s="306" t="s">
        <v>281</v>
      </c>
      <c r="E397" s="351">
        <f ca="1">-SUM(H215:J215)*J368</f>
        <v>214.49036906704413</v>
      </c>
      <c r="F397" s="33">
        <v>0</v>
      </c>
      <c r="G397" s="33">
        <v>0</v>
      </c>
      <c r="H397" s="246">
        <f>+IF(H384=$E$396,$E$397,0)</f>
        <v>0</v>
      </c>
      <c r="I397" s="246">
        <f ca="1">+IF(I384=$E$396,$E$397,0)</f>
        <v>214.49036906704413</v>
      </c>
      <c r="J397" s="246">
        <f t="shared" ref="J397" si="48">+IF(J384=$E$396,$E$397,0)</f>
        <v>0</v>
      </c>
      <c r="K397" s="246"/>
      <c r="L397" s="246"/>
      <c r="M397" s="246"/>
      <c r="N397" s="246"/>
    </row>
    <row r="398" spans="1:14" x14ac:dyDescent="0.2">
      <c r="A398" s="399"/>
      <c r="B398" s="245" t="s">
        <v>282</v>
      </c>
      <c r="C398" s="329"/>
      <c r="D398" s="329"/>
      <c r="E398" s="329"/>
      <c r="F398" s="47">
        <f>-F196</f>
        <v>5</v>
      </c>
      <c r="G398" s="47">
        <f>-G196</f>
        <v>5</v>
      </c>
      <c r="H398" s="47">
        <f>-H196</f>
        <v>5</v>
      </c>
      <c r="I398" s="47">
        <f>-I196</f>
        <v>5</v>
      </c>
      <c r="J398" s="47">
        <f>-J196</f>
        <v>5</v>
      </c>
      <c r="K398" s="246"/>
      <c r="L398" s="246"/>
      <c r="M398" s="246"/>
      <c r="N398" s="246"/>
    </row>
    <row r="399" spans="1:14" x14ac:dyDescent="0.2">
      <c r="A399" s="399"/>
      <c r="B399" s="8" t="s">
        <v>283</v>
      </c>
      <c r="C399" s="122"/>
      <c r="D399" s="122"/>
      <c r="E399" s="122"/>
      <c r="F399" s="11">
        <f ca="1">+SUM(F396:F398)</f>
        <v>520.375</v>
      </c>
      <c r="G399" s="11">
        <f t="shared" ref="G399:J399" ca="1" si="49">+SUM(G396:G398)</f>
        <v>585.26722237356807</v>
      </c>
      <c r="H399" s="11">
        <f t="shared" ca="1" si="49"/>
        <v>731.37557326339856</v>
      </c>
      <c r="I399" s="11">
        <f t="shared" ca="1" si="49"/>
        <v>939.33345753564299</v>
      </c>
      <c r="J399" s="11">
        <f t="shared" ca="1" si="49"/>
        <v>907.87921041330947</v>
      </c>
      <c r="K399" s="246"/>
      <c r="L399" s="246"/>
      <c r="M399" s="246"/>
      <c r="N399" s="246"/>
    </row>
    <row r="400" spans="1:14" x14ac:dyDescent="0.2">
      <c r="A400" s="399"/>
      <c r="B400" s="246"/>
      <c r="C400" s="246"/>
      <c r="D400" s="246"/>
      <c r="E400" s="246"/>
      <c r="F400" s="246"/>
      <c r="G400" s="246"/>
      <c r="H400" s="246"/>
      <c r="I400" s="246"/>
      <c r="J400" s="246"/>
      <c r="K400" s="246"/>
      <c r="L400" s="246"/>
      <c r="M400" s="246"/>
      <c r="N400" s="246"/>
    </row>
    <row r="401" spans="1:14" x14ac:dyDescent="0.2">
      <c r="A401" s="399"/>
      <c r="B401" s="69" t="s">
        <v>284</v>
      </c>
      <c r="C401" s="387"/>
      <c r="D401" s="387"/>
      <c r="E401" s="128">
        <v>2020</v>
      </c>
      <c r="F401" s="129">
        <f>+E401+1</f>
        <v>2021</v>
      </c>
      <c r="G401" s="129">
        <f>+F401+1</f>
        <v>2022</v>
      </c>
      <c r="H401" s="129">
        <f>+G401+1</f>
        <v>2023</v>
      </c>
      <c r="I401" s="129">
        <f>+H401+1</f>
        <v>2024</v>
      </c>
      <c r="J401" s="129">
        <f>+I401+1</f>
        <v>2025</v>
      </c>
      <c r="K401" s="246"/>
      <c r="L401" s="246"/>
      <c r="M401" s="246"/>
      <c r="N401" s="246"/>
    </row>
    <row r="402" spans="1:14" x14ac:dyDescent="0.2">
      <c r="A402" s="399"/>
      <c r="B402" s="405"/>
      <c r="C402" s="363" t="s">
        <v>285</v>
      </c>
      <c r="D402" s="363" t="s">
        <v>286</v>
      </c>
      <c r="E402" s="357">
        <v>44196</v>
      </c>
      <c r="F402" s="357">
        <f>+EOMONTH(E402,12)</f>
        <v>44561</v>
      </c>
      <c r="G402" s="357">
        <f>+EOMONTH(F402,12)</f>
        <v>44926</v>
      </c>
      <c r="H402" s="357">
        <f>+EOMONTH(G402,12)</f>
        <v>45291</v>
      </c>
      <c r="I402" s="357">
        <f>+EOMONTH(H402,12)</f>
        <v>45657</v>
      </c>
      <c r="J402" s="357">
        <f>+EOMONTH(I402,12)</f>
        <v>46022</v>
      </c>
      <c r="K402" s="246"/>
      <c r="L402" s="246"/>
      <c r="M402" s="246"/>
      <c r="N402" s="246"/>
    </row>
    <row r="403" spans="1:14" x14ac:dyDescent="0.2">
      <c r="A403" s="399"/>
      <c r="B403" s="330">
        <v>2021</v>
      </c>
      <c r="C403" s="359">
        <f ca="1">+XIRR(E403:J403,$E$402:$J$402)</f>
        <v>9.5526316761970514E-2</v>
      </c>
      <c r="D403" s="360">
        <f ca="1">+SUM(F403:J403)/-E403</f>
        <v>1.0955263157894737</v>
      </c>
      <c r="E403" s="130">
        <f>-$E$46</f>
        <v>-475</v>
      </c>
      <c r="F403" s="130">
        <f ca="1">+F399</f>
        <v>520.375</v>
      </c>
      <c r="G403" s="406"/>
      <c r="H403" s="406"/>
      <c r="I403" s="406"/>
      <c r="J403" s="406"/>
      <c r="K403" s="246"/>
      <c r="L403" s="246"/>
      <c r="M403" s="246"/>
      <c r="N403" s="246"/>
    </row>
    <row r="404" spans="1:14" x14ac:dyDescent="0.2">
      <c r="A404" s="399"/>
      <c r="B404" s="330">
        <f>+B403+1</f>
        <v>2022</v>
      </c>
      <c r="C404" s="359">
        <f t="shared" ref="C404:C407" ca="1" si="50">+XIRR(E404:J404,$E$402:$J$402)</f>
        <v>0.1152944028377533</v>
      </c>
      <c r="D404" s="360">
        <f t="shared" ref="D404:D407" ca="1" si="51">+SUM(F404:J404)/-E404</f>
        <v>1.2426679843749147</v>
      </c>
      <c r="E404" s="130">
        <f>-$E$46</f>
        <v>-475</v>
      </c>
      <c r="F404" s="130">
        <f>+F$398</f>
        <v>5</v>
      </c>
      <c r="G404" s="130">
        <f ca="1">+G399</f>
        <v>585.26722237356807</v>
      </c>
      <c r="H404" s="406"/>
      <c r="I404" s="406"/>
      <c r="J404" s="406"/>
      <c r="K404" s="246"/>
      <c r="L404" s="246"/>
      <c r="M404" s="246"/>
      <c r="N404" s="246"/>
    </row>
    <row r="405" spans="1:14" x14ac:dyDescent="0.2">
      <c r="A405" s="399"/>
      <c r="B405" s="330">
        <f>+B404+1</f>
        <v>2023</v>
      </c>
      <c r="C405" s="359">
        <f t="shared" ca="1" si="50"/>
        <v>0.1613021552562714</v>
      </c>
      <c r="D405" s="360">
        <f t="shared" ca="1" si="51"/>
        <v>1.5607907905719072</v>
      </c>
      <c r="E405" s="130">
        <f>-$E$46</f>
        <v>-475</v>
      </c>
      <c r="F405" s="130">
        <f>+SUM(F397:F398)</f>
        <v>5</v>
      </c>
      <c r="G405" s="130">
        <f t="shared" ref="G405" si="52">+SUM(G397:G398)</f>
        <v>5</v>
      </c>
      <c r="H405" s="130">
        <f ca="1">+H399</f>
        <v>731.37557326339856</v>
      </c>
      <c r="I405" s="406"/>
      <c r="J405" s="406"/>
      <c r="K405" s="246"/>
      <c r="L405" s="246"/>
      <c r="M405" s="246"/>
      <c r="N405" s="246"/>
    </row>
    <row r="406" spans="1:14" x14ac:dyDescent="0.2">
      <c r="A406" s="399"/>
      <c r="B406" s="330">
        <f>+B405+1</f>
        <v>2024</v>
      </c>
      <c r="C406" s="359">
        <f t="shared" ca="1" si="50"/>
        <v>0.1924580752849579</v>
      </c>
      <c r="D406" s="360">
        <f t="shared" ca="1" si="51"/>
        <v>2.0091231507539193</v>
      </c>
      <c r="E406" s="130">
        <f>-$E$46</f>
        <v>-475</v>
      </c>
      <c r="F406" s="130">
        <f>+SUM(F397:F398)</f>
        <v>5</v>
      </c>
      <c r="G406" s="130">
        <f t="shared" ref="G406:H406" si="53">+SUM(G397:G398)</f>
        <v>5</v>
      </c>
      <c r="H406" s="130">
        <f t="shared" si="53"/>
        <v>5</v>
      </c>
      <c r="I406" s="130">
        <f ca="1">+I399</f>
        <v>939.33345753564299</v>
      </c>
      <c r="J406" s="406"/>
      <c r="K406" s="246"/>
      <c r="L406" s="246"/>
      <c r="M406" s="246"/>
      <c r="N406" s="246"/>
    </row>
    <row r="407" spans="1:14" x14ac:dyDescent="0.2">
      <c r="A407" s="399"/>
      <c r="B407" s="330">
        <f>+B406+1</f>
        <v>2025</v>
      </c>
      <c r="C407" s="361">
        <f t="shared" ca="1" si="50"/>
        <v>0.2032016098499298</v>
      </c>
      <c r="D407" s="362">
        <f t="shared" ca="1" si="51"/>
        <v>2.4049889337671444</v>
      </c>
      <c r="E407" s="130">
        <f>-$E$46</f>
        <v>-475</v>
      </c>
      <c r="F407" s="130">
        <f>+SUM(F397:F398)</f>
        <v>5</v>
      </c>
      <c r="G407" s="130">
        <f t="shared" ref="G407:I407" si="54">+SUM(G397:G398)</f>
        <v>5</v>
      </c>
      <c r="H407" s="130">
        <f t="shared" si="54"/>
        <v>5</v>
      </c>
      <c r="I407" s="130">
        <f t="shared" ca="1" si="54"/>
        <v>219.49036906704413</v>
      </c>
      <c r="J407" s="130">
        <f ca="1">+J399</f>
        <v>907.87921041330947</v>
      </c>
      <c r="K407" s="246"/>
      <c r="L407" s="246"/>
      <c r="M407" s="246"/>
      <c r="N407" s="246"/>
    </row>
    <row r="408" spans="1:14" x14ac:dyDescent="0.2">
      <c r="A408" s="399"/>
      <c r="B408" s="407"/>
      <c r="C408" s="412"/>
      <c r="D408" s="412"/>
      <c r="E408" s="81"/>
      <c r="F408" s="81"/>
      <c r="G408" s="81"/>
      <c r="H408" s="81"/>
      <c r="I408" s="81"/>
      <c r="J408" s="81"/>
      <c r="K408" s="246"/>
      <c r="L408" s="246"/>
      <c r="M408" s="246"/>
      <c r="N408" s="246"/>
    </row>
    <row r="409" spans="1:14" x14ac:dyDescent="0.2">
      <c r="A409" s="399"/>
      <c r="B409" s="54" t="s">
        <v>287</v>
      </c>
      <c r="C409" s="414"/>
      <c r="D409" s="413"/>
      <c r="E409" s="408"/>
      <c r="F409" s="408"/>
      <c r="G409" s="408"/>
      <c r="H409" s="408"/>
      <c r="I409" s="408"/>
      <c r="J409" s="408"/>
      <c r="K409" s="246"/>
      <c r="L409" s="246"/>
      <c r="M409" s="246"/>
      <c r="N409" s="246"/>
    </row>
    <row r="410" spans="1:14" x14ac:dyDescent="0.2">
      <c r="A410" s="399"/>
      <c r="B410" s="246"/>
      <c r="C410" s="246"/>
      <c r="D410" s="246"/>
      <c r="E410" s="246"/>
      <c r="F410" s="246"/>
      <c r="G410" s="246"/>
      <c r="H410" s="246"/>
      <c r="I410" s="246"/>
      <c r="J410" s="246"/>
      <c r="K410" s="246"/>
      <c r="L410" s="246"/>
      <c r="M410" s="246"/>
      <c r="N410" s="246"/>
    </row>
    <row r="411" spans="1:14" x14ac:dyDescent="0.2">
      <c r="A411" s="399"/>
      <c r="B411" s="246"/>
      <c r="C411" s="246"/>
      <c r="D411" s="132" t="s">
        <v>288</v>
      </c>
      <c r="E411" s="409"/>
      <c r="F411" s="409"/>
      <c r="G411" s="409"/>
      <c r="H411" s="409"/>
      <c r="I411" s="409"/>
      <c r="J411" s="410"/>
      <c r="K411" s="246"/>
      <c r="L411" s="246"/>
      <c r="M411" s="246"/>
      <c r="N411" s="246"/>
    </row>
    <row r="412" spans="1:14" x14ac:dyDescent="0.2">
      <c r="A412" s="399"/>
      <c r="B412" s="246"/>
      <c r="C412" s="246"/>
      <c r="D412" s="246"/>
      <c r="E412" s="246"/>
      <c r="F412" s="246"/>
      <c r="G412" s="246"/>
      <c r="H412" s="246"/>
      <c r="I412" s="246"/>
      <c r="J412" s="246"/>
      <c r="K412" s="246"/>
      <c r="L412" s="246"/>
      <c r="M412" s="246"/>
      <c r="N412" s="246"/>
    </row>
    <row r="413" spans="1:14" x14ac:dyDescent="0.2">
      <c r="A413" s="399"/>
      <c r="B413" s="246"/>
      <c r="C413" s="246"/>
      <c r="D413" s="2" t="s">
        <v>289</v>
      </c>
      <c r="E413" s="411"/>
      <c r="F413" s="411"/>
      <c r="G413" s="411"/>
      <c r="H413" s="411"/>
      <c r="I413" s="411"/>
      <c r="J413" s="411"/>
      <c r="K413" s="246"/>
      <c r="L413" s="246"/>
      <c r="M413" s="246"/>
      <c r="N413" s="246"/>
    </row>
    <row r="414" spans="1:14" x14ac:dyDescent="0.2">
      <c r="A414" s="399"/>
      <c r="B414" s="246"/>
      <c r="C414" s="133">
        <f ca="1">+C407</f>
        <v>0.2032016098499298</v>
      </c>
      <c r="D414" s="352">
        <f>+E414-1</f>
        <v>11.5</v>
      </c>
      <c r="E414" s="352">
        <f>+F414-1</f>
        <v>12.5</v>
      </c>
      <c r="F414" s="352">
        <f>+G414-1</f>
        <v>13.5</v>
      </c>
      <c r="G414" s="134">
        <v>14.5</v>
      </c>
      <c r="H414" s="352">
        <f>+G414+1</f>
        <v>15.5</v>
      </c>
      <c r="I414" s="352">
        <f>+H414+1</f>
        <v>16.5</v>
      </c>
      <c r="J414" s="352">
        <f>+I414+1</f>
        <v>17.5</v>
      </c>
      <c r="K414" s="246"/>
      <c r="L414" s="246"/>
      <c r="M414" s="246"/>
      <c r="N414" s="246"/>
    </row>
    <row r="415" spans="1:14" x14ac:dyDescent="0.2">
      <c r="A415" s="399"/>
      <c r="B415" s="246"/>
      <c r="C415" s="353">
        <f t="shared" ref="C415:C416" si="55">+C416-1</f>
        <v>12</v>
      </c>
      <c r="D415" s="354">
        <f t="dataTable" ref="D415:J421" dt2D="1" dtr="1" r1="J387" r2="E9" ca="1"/>
        <v>0.23686524033546444</v>
      </c>
      <c r="E415" s="354">
        <v>0.25904697775840757</v>
      </c>
      <c r="F415" s="354">
        <v>0.2796814739704131</v>
      </c>
      <c r="G415" s="354">
        <v>0.29899557232856755</v>
      </c>
      <c r="H415" s="354">
        <v>0.31716796755790733</v>
      </c>
      <c r="I415" s="354">
        <v>0.33434209227561951</v>
      </c>
      <c r="J415" s="354">
        <v>0.35063497424125678</v>
      </c>
      <c r="K415" s="246"/>
      <c r="L415" s="246"/>
      <c r="M415" s="246"/>
      <c r="N415" s="246"/>
    </row>
    <row r="416" spans="1:14" x14ac:dyDescent="0.2">
      <c r="A416" s="399"/>
      <c r="B416" s="246"/>
      <c r="C416" s="353">
        <f t="shared" si="55"/>
        <v>13</v>
      </c>
      <c r="D416" s="354">
        <v>0.20139411091804504</v>
      </c>
      <c r="E416" s="354">
        <v>0.22300569415092469</v>
      </c>
      <c r="F416" s="354">
        <v>0.24310678839683533</v>
      </c>
      <c r="G416" s="354">
        <v>0.26191926598548887</v>
      </c>
      <c r="H416" s="354">
        <v>0.27961773276329027</v>
      </c>
      <c r="I416" s="354">
        <v>0.29634235501289374</v>
      </c>
      <c r="J416" s="354">
        <v>0.31220744252204902</v>
      </c>
      <c r="K416" s="246"/>
      <c r="L416" s="246"/>
      <c r="M416" s="246"/>
      <c r="N416" s="246"/>
    </row>
    <row r="417" spans="1:14" x14ac:dyDescent="0.2">
      <c r="A417" s="399"/>
      <c r="B417" s="19" t="s">
        <v>290</v>
      </c>
      <c r="C417" s="353">
        <f>+C418-1</f>
        <v>14</v>
      </c>
      <c r="D417" s="354">
        <v>0.17131009697914126</v>
      </c>
      <c r="E417" s="354">
        <v>0.1924255430698395</v>
      </c>
      <c r="F417" s="354">
        <v>0.21206336617469793</v>
      </c>
      <c r="G417" s="354">
        <v>0.23044075369834902</v>
      </c>
      <c r="H417" s="354">
        <v>0.2477286756038666</v>
      </c>
      <c r="I417" s="354">
        <v>0.26406430602073672</v>
      </c>
      <c r="J417" s="354">
        <v>0.27955953478813167</v>
      </c>
      <c r="K417" s="246"/>
      <c r="L417" s="246"/>
      <c r="M417" s="246"/>
      <c r="N417" s="246"/>
    </row>
    <row r="418" spans="1:14" x14ac:dyDescent="0.2">
      <c r="A418" s="399"/>
      <c r="B418" s="19" t="s">
        <v>291</v>
      </c>
      <c r="C418" s="117">
        <v>15</v>
      </c>
      <c r="D418" s="354">
        <v>0.15984404683113101</v>
      </c>
      <c r="E418" s="354">
        <v>0.16597989201545718</v>
      </c>
      <c r="F418" s="354">
        <v>0.1852081954479218</v>
      </c>
      <c r="G418" s="354">
        <v>0.20320155024528502</v>
      </c>
      <c r="H418" s="354">
        <v>0.22012750506401058</v>
      </c>
      <c r="I418" s="354">
        <v>0.23612051606178286</v>
      </c>
      <c r="J418" s="354">
        <v>0.25129022002220158</v>
      </c>
      <c r="K418" s="246"/>
      <c r="L418" s="246"/>
      <c r="M418" s="246"/>
      <c r="N418" s="246"/>
    </row>
    <row r="419" spans="1:14" x14ac:dyDescent="0.2">
      <c r="A419" s="399"/>
      <c r="B419" s="246"/>
      <c r="C419" s="353">
        <f>+C418+1</f>
        <v>16</v>
      </c>
      <c r="D419" s="354">
        <v>0.15397550463676452</v>
      </c>
      <c r="E419" s="354">
        <v>0.15397550463676452</v>
      </c>
      <c r="F419" s="354">
        <v>0.16162461638450623</v>
      </c>
      <c r="G419" s="354">
        <v>0.17927425503730776</v>
      </c>
      <c r="H419" s="354">
        <v>0.19587660431861878</v>
      </c>
      <c r="I419" s="354">
        <v>0.21156356930732734</v>
      </c>
      <c r="J419" s="354">
        <v>0.22644276022911072</v>
      </c>
      <c r="K419" s="246"/>
      <c r="L419" s="246"/>
      <c r="M419" s="246"/>
      <c r="N419" s="246"/>
    </row>
    <row r="420" spans="1:14" x14ac:dyDescent="0.2">
      <c r="A420" s="399"/>
      <c r="B420" s="246"/>
      <c r="C420" s="353">
        <f t="shared" ref="C420:C421" si="56">+C419+1</f>
        <v>17</v>
      </c>
      <c r="D420" s="354">
        <v>0.14906733632087713</v>
      </c>
      <c r="E420" s="354">
        <v>0.14906733632087713</v>
      </c>
      <c r="F420" s="354">
        <v>0.14906733632087713</v>
      </c>
      <c r="G420" s="354">
        <v>0.15799929499626161</v>
      </c>
      <c r="H420" s="354">
        <v>0.17430906891822817</v>
      </c>
      <c r="I420" s="354">
        <v>0.18971959948539729</v>
      </c>
      <c r="J420" s="354">
        <v>0.20433654189109804</v>
      </c>
      <c r="K420" s="246"/>
      <c r="L420" s="246"/>
      <c r="M420" s="246"/>
      <c r="N420" s="246"/>
    </row>
    <row r="421" spans="1:14" x14ac:dyDescent="0.2">
      <c r="A421" s="399"/>
      <c r="B421" s="246"/>
      <c r="C421" s="353">
        <f t="shared" si="56"/>
        <v>18</v>
      </c>
      <c r="D421" s="354">
        <v>0.14490153193473815</v>
      </c>
      <c r="E421" s="354">
        <v>0.14490153193473815</v>
      </c>
      <c r="F421" s="354">
        <v>0.14490153193473815</v>
      </c>
      <c r="G421" s="354">
        <v>0.14490153193473815</v>
      </c>
      <c r="H421" s="354">
        <v>0.15493469834327703</v>
      </c>
      <c r="I421" s="354">
        <v>0.17009317278861996</v>
      </c>
      <c r="J421" s="354">
        <v>0.18447119593620301</v>
      </c>
      <c r="K421" s="246"/>
      <c r="L421" s="246"/>
      <c r="M421" s="246"/>
      <c r="N421" s="246"/>
    </row>
    <row r="422" spans="1:14" x14ac:dyDescent="0.2">
      <c r="A422" s="399"/>
      <c r="B422" s="246"/>
      <c r="C422" s="246"/>
      <c r="D422" s="246"/>
      <c r="E422" s="246"/>
      <c r="F422" s="246"/>
      <c r="G422" s="246"/>
      <c r="H422" s="246"/>
      <c r="I422" s="246"/>
      <c r="J422" s="246"/>
      <c r="K422" s="246"/>
      <c r="L422" s="246"/>
      <c r="M422" s="246"/>
      <c r="N422" s="246"/>
    </row>
    <row r="423" spans="1:14" x14ac:dyDescent="0.2">
      <c r="A423" s="399"/>
      <c r="B423" s="246"/>
      <c r="C423" s="246"/>
      <c r="D423" s="132" t="s">
        <v>292</v>
      </c>
      <c r="E423" s="409"/>
      <c r="F423" s="409"/>
      <c r="G423" s="409"/>
      <c r="H423" s="409"/>
      <c r="I423" s="409"/>
      <c r="J423" s="410"/>
      <c r="K423" s="246"/>
      <c r="L423" s="246"/>
      <c r="M423" s="246"/>
      <c r="N423" s="246"/>
    </row>
    <row r="424" spans="1:14" x14ac:dyDescent="0.2">
      <c r="A424" s="399"/>
      <c r="B424" s="246"/>
      <c r="C424" s="246"/>
      <c r="D424" s="246"/>
      <c r="E424" s="246"/>
      <c r="F424" s="246"/>
      <c r="G424" s="246"/>
      <c r="H424" s="246"/>
      <c r="I424" s="246"/>
      <c r="J424" s="246"/>
      <c r="K424" s="246"/>
      <c r="L424" s="246"/>
      <c r="M424" s="246"/>
      <c r="N424" s="246"/>
    </row>
    <row r="425" spans="1:14" x14ac:dyDescent="0.2">
      <c r="A425" s="399"/>
      <c r="B425" s="246"/>
      <c r="C425" s="246"/>
      <c r="D425" s="2" t="s">
        <v>289</v>
      </c>
      <c r="E425" s="411"/>
      <c r="F425" s="411"/>
      <c r="G425" s="411"/>
      <c r="H425" s="411"/>
      <c r="I425" s="411"/>
      <c r="J425" s="411"/>
      <c r="K425" s="246"/>
      <c r="L425" s="246"/>
      <c r="M425" s="246"/>
      <c r="N425" s="246"/>
    </row>
    <row r="426" spans="1:14" x14ac:dyDescent="0.2">
      <c r="A426" s="399"/>
      <c r="B426" s="246"/>
      <c r="C426" s="135">
        <f ca="1">+D407</f>
        <v>2.4049889337671444</v>
      </c>
      <c r="D426" s="352">
        <f t="shared" ref="D426:E426" si="57">+E426-1</f>
        <v>11.5</v>
      </c>
      <c r="E426" s="352">
        <f t="shared" si="57"/>
        <v>12.5</v>
      </c>
      <c r="F426" s="352">
        <f>+G426-1</f>
        <v>13.5</v>
      </c>
      <c r="G426" s="134">
        <v>14.5</v>
      </c>
      <c r="H426" s="352">
        <f>+G426+1</f>
        <v>15.5</v>
      </c>
      <c r="I426" s="352">
        <f t="shared" ref="I426:J426" si="58">+H426+1</f>
        <v>16.5</v>
      </c>
      <c r="J426" s="352">
        <f t="shared" si="58"/>
        <v>17.5</v>
      </c>
      <c r="K426" s="246"/>
      <c r="L426" s="246"/>
      <c r="M426" s="246"/>
      <c r="N426" s="246"/>
    </row>
    <row r="427" spans="1:14" x14ac:dyDescent="0.2">
      <c r="A427" s="399"/>
      <c r="B427" s="246"/>
      <c r="C427" s="353">
        <f t="shared" ref="C427:C428" si="59">+C428-1</f>
        <v>12</v>
      </c>
      <c r="D427" s="355">
        <f t="dataTable" ref="D427:J433" dt2D="1" dtr="1" r1="J387" r2="E9" ca="1"/>
        <v>2.7093066225190277</v>
      </c>
      <c r="E427" s="355">
        <v>2.9603740161373828</v>
      </c>
      <c r="F427" s="355">
        <v>3.2114423812509352</v>
      </c>
      <c r="G427" s="355">
        <v>3.4625107149493379</v>
      </c>
      <c r="H427" s="355">
        <v>3.7135790315904784</v>
      </c>
      <c r="I427" s="355">
        <v>3.9646473384263037</v>
      </c>
      <c r="J427" s="355">
        <v>4.2157156393530348</v>
      </c>
      <c r="K427" s="246"/>
      <c r="L427" s="246"/>
      <c r="M427" s="246"/>
      <c r="N427" s="246"/>
    </row>
    <row r="428" spans="1:14" x14ac:dyDescent="0.2">
      <c r="A428" s="399"/>
      <c r="B428" s="246"/>
      <c r="C428" s="353">
        <f t="shared" si="59"/>
        <v>13</v>
      </c>
      <c r="D428" s="355">
        <v>2.3632693946031549</v>
      </c>
      <c r="E428" s="355">
        <v>2.5811461994562661</v>
      </c>
      <c r="F428" s="355">
        <v>2.7990233034156176</v>
      </c>
      <c r="G428" s="355">
        <v>3.0169003697293677</v>
      </c>
      <c r="H428" s="355">
        <v>3.2347774156009685</v>
      </c>
      <c r="I428" s="355">
        <v>3.4526544497206131</v>
      </c>
      <c r="J428" s="355">
        <v>3.6705314767576489</v>
      </c>
      <c r="K428" s="246"/>
      <c r="L428" s="246"/>
      <c r="M428" s="246"/>
      <c r="N428" s="246"/>
    </row>
    <row r="429" spans="1:14" x14ac:dyDescent="0.2">
      <c r="A429" s="399"/>
      <c r="B429" s="19" t="s">
        <v>290</v>
      </c>
      <c r="C429" s="353">
        <f>+C430-1</f>
        <v>14</v>
      </c>
      <c r="D429" s="355">
        <v>2.0979433242214824</v>
      </c>
      <c r="E429" s="355">
        <v>2.2903799079907272</v>
      </c>
      <c r="F429" s="355">
        <v>2.4828168436608546</v>
      </c>
      <c r="G429" s="355">
        <v>2.6752537345135448</v>
      </c>
      <c r="H429" s="355">
        <v>2.8676906010273271</v>
      </c>
      <c r="I429" s="355">
        <v>3.0601274535479508</v>
      </c>
      <c r="J429" s="355">
        <v>3.2525642976347888</v>
      </c>
      <c r="K429" s="246"/>
      <c r="L429" s="246"/>
      <c r="M429" s="246"/>
      <c r="N429" s="246"/>
    </row>
    <row r="430" spans="1:14" x14ac:dyDescent="0.2">
      <c r="A430" s="399"/>
      <c r="B430" s="19" t="s">
        <v>291</v>
      </c>
      <c r="C430" s="117">
        <v>15</v>
      </c>
      <c r="D430" s="355">
        <v>2.0078469408455857</v>
      </c>
      <c r="E430" s="355">
        <v>2.0603556853341223</v>
      </c>
      <c r="F430" s="355">
        <v>2.2326718994441701</v>
      </c>
      <c r="G430" s="355">
        <v>2.404988446094126</v>
      </c>
      <c r="H430" s="355">
        <v>2.5773049639701124</v>
      </c>
      <c r="I430" s="355">
        <v>2.74962146530192</v>
      </c>
      <c r="J430" s="355">
        <v>2.9219379566618793</v>
      </c>
      <c r="K430" s="246"/>
      <c r="L430" s="246"/>
      <c r="M430" s="246"/>
      <c r="N430" s="246"/>
    </row>
    <row r="431" spans="1:14" x14ac:dyDescent="0.2">
      <c r="A431" s="399"/>
      <c r="B431" s="246"/>
      <c r="C431" s="353">
        <f>+C430+1</f>
        <v>16</v>
      </c>
      <c r="D431" s="355">
        <v>1.9652729548385985</v>
      </c>
      <c r="E431" s="355">
        <v>1.9652729548385985</v>
      </c>
      <c r="F431" s="355">
        <v>2.0298444695027662</v>
      </c>
      <c r="G431" s="355">
        <v>2.1858495103462396</v>
      </c>
      <c r="H431" s="355">
        <v>2.3418548081305053</v>
      </c>
      <c r="I431" s="355">
        <v>2.4978600864930742</v>
      </c>
      <c r="J431" s="355">
        <v>2.6538653531487673</v>
      </c>
      <c r="K431" s="246"/>
      <c r="L431" s="246"/>
      <c r="M431" s="246"/>
      <c r="N431" s="246"/>
    </row>
    <row r="432" spans="1:14" x14ac:dyDescent="0.2">
      <c r="A432" s="399"/>
      <c r="B432" s="246"/>
      <c r="C432" s="353">
        <f t="shared" ref="C432:C433" si="60">+C431+1</f>
        <v>17</v>
      </c>
      <c r="D432" s="355">
        <v>1.930035234735834</v>
      </c>
      <c r="E432" s="355">
        <v>1.930035234735834</v>
      </c>
      <c r="F432" s="355">
        <v>1.930035234735834</v>
      </c>
      <c r="G432" s="355">
        <v>2.0045833092449454</v>
      </c>
      <c r="H432" s="355">
        <v>2.1470981263023385</v>
      </c>
      <c r="I432" s="355">
        <v>2.2896131483443822</v>
      </c>
      <c r="J432" s="355">
        <v>2.4321281567369941</v>
      </c>
      <c r="K432" s="246"/>
      <c r="L432" s="246"/>
      <c r="M432" s="246"/>
      <c r="N432" s="246"/>
    </row>
    <row r="433" spans="1:14" x14ac:dyDescent="0.2">
      <c r="A433" s="399"/>
      <c r="B433" s="246"/>
      <c r="C433" s="353">
        <f t="shared" si="60"/>
        <v>18</v>
      </c>
      <c r="D433" s="355">
        <v>1.9003879436694451</v>
      </c>
      <c r="E433" s="355">
        <v>1.9003879436694451</v>
      </c>
      <c r="F433" s="355">
        <v>1.9003879436694451</v>
      </c>
      <c r="G433" s="355">
        <v>1.9003879436694451</v>
      </c>
      <c r="H433" s="355">
        <v>1.9833244961595582</v>
      </c>
      <c r="I433" s="355">
        <v>2.1144964771541286</v>
      </c>
      <c r="J433" s="355">
        <v>2.2456686259518088</v>
      </c>
      <c r="K433" s="246"/>
      <c r="L433" s="246"/>
      <c r="M433" s="246"/>
      <c r="N433" s="246"/>
    </row>
  </sheetData>
  <conditionalFormatting sqref="E403:J407">
    <cfRule type="cellIs" dxfId="32" priority="27" operator="greaterThan">
      <formula>0</formula>
    </cfRule>
    <cfRule type="cellIs" dxfId="31" priority="28" operator="lessThan">
      <formula>0</formula>
    </cfRule>
  </conditionalFormatting>
  <conditionalFormatting sqref="F165:J165">
    <cfRule type="cellIs" dxfId="30" priority="25" operator="equal">
      <formula>0</formula>
    </cfRule>
    <cfRule type="cellIs" dxfId="29" priority="26" operator="equal">
      <formula>1</formula>
    </cfRule>
  </conditionalFormatting>
  <conditionalFormatting sqref="D117">
    <cfRule type="cellIs" dxfId="28" priority="22" operator="equal">
      <formula>"Base"</formula>
    </cfRule>
    <cfRule type="cellIs" dxfId="27" priority="23" operator="equal">
      <formula>"Downside"</formula>
    </cfRule>
    <cfRule type="cellIs" dxfId="26" priority="24" operator="equal">
      <formula>"Upside"</formula>
    </cfRule>
  </conditionalFormatting>
  <conditionalFormatting sqref="H336:J336 H340:J340">
    <cfRule type="cellIs" dxfId="25" priority="20" operator="equal">
      <formula>0</formula>
    </cfRule>
    <cfRule type="cellIs" dxfId="24" priority="21" operator="equal">
      <formula>1</formula>
    </cfRule>
  </conditionalFormatting>
  <conditionalFormatting sqref="F313:J313">
    <cfRule type="cellIs" dxfId="23" priority="18" operator="equal">
      <formula>0</formula>
    </cfRule>
    <cfRule type="cellIs" dxfId="22" priority="19" operator="equal">
      <formula>1</formula>
    </cfRule>
  </conditionalFormatting>
  <conditionalFormatting sqref="G339:J339">
    <cfRule type="cellIs" dxfId="21" priority="16" operator="equal">
      <formula>"Breached"</formula>
    </cfRule>
    <cfRule type="cellIs" dxfId="20" priority="17" operator="equal">
      <formula>"Passed"</formula>
    </cfRule>
  </conditionalFormatting>
  <conditionalFormatting sqref="G341:J341">
    <cfRule type="cellIs" dxfId="19" priority="10" operator="equal">
      <formula>"Breached"</formula>
    </cfRule>
    <cfRule type="cellIs" dxfId="18" priority="11" operator="equal">
      <formula>"Passed"</formula>
    </cfRule>
  </conditionalFormatting>
  <conditionalFormatting sqref="H341:J341">
    <cfRule type="cellIs" dxfId="17" priority="14" operator="equal">
      <formula>"Breached"</formula>
    </cfRule>
    <cfRule type="cellIs" dxfId="16" priority="15" operator="equal">
      <formula>"Passed"</formula>
    </cfRule>
  </conditionalFormatting>
  <conditionalFormatting sqref="G339:J339">
    <cfRule type="cellIs" dxfId="15" priority="12" operator="equal">
      <formula>"Breached"</formula>
    </cfRule>
    <cfRule type="cellIs" dxfId="14" priority="13" operator="equal">
      <formula>"Passed"</formula>
    </cfRule>
  </conditionalFormatting>
  <conditionalFormatting sqref="C230">
    <cfRule type="cellIs" dxfId="13" priority="7" operator="equal">
      <formula>"Base"</formula>
    </cfRule>
    <cfRule type="cellIs" dxfId="12" priority="8" operator="equal">
      <formula>"Downside"</formula>
    </cfRule>
    <cfRule type="cellIs" dxfId="11" priority="9" operator="equal">
      <formula>"Upside"</formula>
    </cfRule>
  </conditionalFormatting>
  <conditionalFormatting sqref="G341">
    <cfRule type="cellIs" dxfId="10" priority="5" operator="equal">
      <formula>"Breached"</formula>
    </cfRule>
    <cfRule type="cellIs" dxfId="9" priority="6" operator="equal">
      <formula>"Passed"</formula>
    </cfRule>
  </conditionalFormatting>
  <conditionalFormatting sqref="F169:J169">
    <cfRule type="cellIs" dxfId="8" priority="3" operator="equal">
      <formula>0</formula>
    </cfRule>
    <cfRule type="cellIs" dxfId="7" priority="4" operator="equal">
      <formula>1</formula>
    </cfRule>
  </conditionalFormatting>
  <conditionalFormatting sqref="H342:J342">
    <cfRule type="cellIs" dxfId="6" priority="1" operator="equal">
      <formula>0</formula>
    </cfRule>
    <cfRule type="cellIs" dxfId="5" priority="2" operator="equal">
      <formula>1</formula>
    </cfRule>
  </conditionalFormatting>
  <conditionalFormatting sqref="F393:F394">
    <cfRule type="top10" dxfId="4" priority="29" percent="1" rank="10"/>
  </conditionalFormatting>
  <conditionalFormatting sqref="G393:G394">
    <cfRule type="top10" dxfId="3" priority="30" percent="1" rank="10"/>
  </conditionalFormatting>
  <conditionalFormatting sqref="H393:H394">
    <cfRule type="top10" dxfId="2" priority="31" percent="1" rank="10"/>
  </conditionalFormatting>
  <conditionalFormatting sqref="I393:I394">
    <cfRule type="top10" dxfId="1" priority="32" percent="1" rank="10"/>
  </conditionalFormatting>
  <conditionalFormatting sqref="J393:J394">
    <cfRule type="top10" dxfId="0" priority="33" percent="1" rank="10"/>
  </conditionalFormatting>
  <dataValidations disablePrompts="1" count="2">
    <dataValidation type="list" showInputMessage="1" showErrorMessage="1" sqref="E36" xr:uid="{7CD08CFC-B02D-46BC-B9CC-C7FD945CAC23}">
      <formula1>"N/A ,2023,2024,2025"</formula1>
    </dataValidation>
    <dataValidation type="list" showInputMessage="1" showErrorMessage="1" sqref="J35" xr:uid="{94A87989-0956-4C22-B0E3-0EF5C2BD8D61}">
      <formula1>"N/A ,2021,2022,2023,2024,2025"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Financials</vt:lpstr>
      <vt:lpstr>Empty</vt:lpstr>
      <vt:lpstr>Completed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2020-11-02T18:40:43Z</dcterms:created>
  <dcterms:modified xsi:type="dcterms:W3CDTF">2023-01-08T00:42:15Z</dcterms:modified>
</cp:coreProperties>
</file>